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U:\ISO\ISO 50001 Enerji Yönetim Ssitemi\Prosedürler\Enerji Boyutları ve Risk Değerlendirme\"/>
    </mc:Choice>
  </mc:AlternateContent>
  <bookViews>
    <workbookView xWindow="0" yWindow="0" windowWidth="20490" windowHeight="7635" tabRatio="500" activeTab="1"/>
  </bookViews>
  <sheets>
    <sheet name="Özet" sheetId="3" r:id="rId1"/>
    <sheet name="Enerji-Dgaz Bina Kır" sheetId="6" r:id="rId2"/>
    <sheet name="doğalgaz" sheetId="8" r:id="rId3"/>
    <sheet name="elektrik" sheetId="7" r:id="rId4"/>
    <sheet name="motorin" sheetId="9" r:id="rId5"/>
  </sheets>
  <definedNames>
    <definedName name="_xlnm._FilterDatabase" localSheetId="1" hidden="1">'Enerji-Dgaz Bina Kır'!$A$8:$P$45</definedName>
    <definedName name="_xlnm._FilterDatabase" localSheetId="0" hidden="1">Özet!$A$7:$D$8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6" i="9" l="1"/>
  <c r="O16" i="9"/>
  <c r="N16" i="9"/>
  <c r="M16" i="9"/>
  <c r="L16" i="9"/>
  <c r="K16" i="9"/>
  <c r="J16" i="9"/>
  <c r="I16" i="9"/>
  <c r="H16" i="9"/>
  <c r="G16" i="9"/>
  <c r="F16" i="9"/>
  <c r="E16" i="9"/>
  <c r="D16" i="9"/>
  <c r="R15" i="9"/>
  <c r="S15" i="9" s="1"/>
  <c r="Q15" i="9"/>
  <c r="Q14" i="9"/>
  <c r="R14" i="9" s="1"/>
  <c r="S14" i="9" s="1"/>
  <c r="Q13" i="9"/>
  <c r="R13" i="9" s="1"/>
  <c r="S13" i="9" s="1"/>
  <c r="T12" i="9"/>
  <c r="Q12" i="9"/>
  <c r="Q16" i="9" s="1"/>
  <c r="U11" i="9"/>
  <c r="U16" i="9" s="1"/>
  <c r="Q11" i="9"/>
  <c r="P11" i="9"/>
  <c r="O11" i="9"/>
  <c r="N11" i="9"/>
  <c r="M11" i="9"/>
  <c r="L11" i="9"/>
  <c r="K11" i="9"/>
  <c r="J11" i="9"/>
  <c r="I11" i="9"/>
  <c r="H11" i="9"/>
  <c r="G11" i="9"/>
  <c r="F11" i="9"/>
  <c r="E11" i="9"/>
  <c r="D11" i="9"/>
  <c r="T10" i="9"/>
  <c r="R10" i="9"/>
  <c r="S10" i="9" s="1"/>
  <c r="T9" i="9"/>
  <c r="T8" i="9"/>
  <c r="T11" i="9" s="1"/>
  <c r="T16" i="9" s="1"/>
  <c r="Q8" i="9"/>
  <c r="R8" i="9" s="1"/>
  <c r="I49" i="6"/>
  <c r="H49" i="6"/>
  <c r="H32" i="6"/>
  <c r="I32" i="6"/>
  <c r="J32" i="6" s="1"/>
  <c r="H33" i="6"/>
  <c r="I33" i="6"/>
  <c r="J33" i="6" s="1"/>
  <c r="H34" i="6"/>
  <c r="I34" i="6"/>
  <c r="H35" i="6"/>
  <c r="I35" i="6"/>
  <c r="J35" i="6" s="1"/>
  <c r="H36" i="6"/>
  <c r="I36" i="6"/>
  <c r="J36" i="6" s="1"/>
  <c r="H37" i="6"/>
  <c r="I37" i="6"/>
  <c r="H38" i="6"/>
  <c r="I38" i="6"/>
  <c r="H39" i="6"/>
  <c r="I39" i="6"/>
  <c r="H40" i="6"/>
  <c r="I40" i="6"/>
  <c r="H41" i="6"/>
  <c r="I41" i="6"/>
  <c r="H42" i="6"/>
  <c r="I42" i="6"/>
  <c r="J42" i="6" s="1"/>
  <c r="H43" i="6"/>
  <c r="I43" i="6"/>
  <c r="H44" i="6"/>
  <c r="I44" i="6"/>
  <c r="H45" i="6"/>
  <c r="I45" i="6"/>
  <c r="H46" i="6"/>
  <c r="I46" i="6"/>
  <c r="J46" i="6" s="1"/>
  <c r="H47" i="6"/>
  <c r="I47" i="6"/>
  <c r="J47" i="6" s="1"/>
  <c r="H48" i="6"/>
  <c r="I48" i="6"/>
  <c r="J48" i="6" s="1"/>
  <c r="I31" i="6"/>
  <c r="H31" i="6"/>
  <c r="S28" i="8"/>
  <c r="S17" i="8"/>
  <c r="S23" i="8"/>
  <c r="S18" i="8"/>
  <c r="S19" i="8"/>
  <c r="S20" i="8"/>
  <c r="S21" i="8"/>
  <c r="S22" i="8"/>
  <c r="S24" i="8"/>
  <c r="S16" i="8"/>
  <c r="S15" i="8"/>
  <c r="S14" i="8"/>
  <c r="S13" i="8"/>
  <c r="S12" i="8"/>
  <c r="S11" i="8"/>
  <c r="S10" i="8"/>
  <c r="S9" i="8"/>
  <c r="S8" i="8"/>
  <c r="S7" i="8"/>
  <c r="S6" i="8"/>
  <c r="S5" i="8"/>
  <c r="B8" i="3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26" i="6"/>
  <c r="I9" i="6"/>
  <c r="I27" i="6"/>
  <c r="I28" i="6"/>
  <c r="J28" i="6" s="1"/>
  <c r="I29" i="6"/>
  <c r="I30" i="6"/>
  <c r="S5" i="7"/>
  <c r="J30" i="6"/>
  <c r="J29" i="6"/>
  <c r="H30" i="6"/>
  <c r="H29" i="6"/>
  <c r="H28" i="6"/>
  <c r="H27" i="6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9" i="6"/>
  <c r="S28" i="7"/>
  <c r="S27" i="7"/>
  <c r="S26" i="7"/>
  <c r="S25" i="7"/>
  <c r="S24" i="7"/>
  <c r="S23" i="7"/>
  <c r="S22" i="7"/>
  <c r="S21" i="7"/>
  <c r="S20" i="7"/>
  <c r="S19" i="7"/>
  <c r="S18" i="7"/>
  <c r="S17" i="7"/>
  <c r="S16" i="7"/>
  <c r="S15" i="7"/>
  <c r="S14" i="7"/>
  <c r="S13" i="7"/>
  <c r="S12" i="7"/>
  <c r="S11" i="7"/>
  <c r="S10" i="7"/>
  <c r="S9" i="7"/>
  <c r="S8" i="7"/>
  <c r="S7" i="7"/>
  <c r="S6" i="7"/>
  <c r="R22" i="7"/>
  <c r="R21" i="7"/>
  <c r="R20" i="7"/>
  <c r="R19" i="7"/>
  <c r="R18" i="7"/>
  <c r="R17" i="7"/>
  <c r="R16" i="7"/>
  <c r="R15" i="7"/>
  <c r="R14" i="7"/>
  <c r="R13" i="7"/>
  <c r="R12" i="7"/>
  <c r="R11" i="7"/>
  <c r="R10" i="7"/>
  <c r="R9" i="7"/>
  <c r="R8" i="7"/>
  <c r="R7" i="7"/>
  <c r="R6" i="7"/>
  <c r="R5" i="7"/>
  <c r="T24" i="8"/>
  <c r="Q24" i="8"/>
  <c r="R24" i="8" s="1"/>
  <c r="U23" i="8"/>
  <c r="U28" i="8" s="1"/>
  <c r="P23" i="8"/>
  <c r="P28" i="8" s="1"/>
  <c r="O23" i="8"/>
  <c r="O28" i="8" s="1"/>
  <c r="N23" i="8"/>
  <c r="N28" i="8" s="1"/>
  <c r="M23" i="8"/>
  <c r="M28" i="8" s="1"/>
  <c r="L23" i="8"/>
  <c r="L28" i="8" s="1"/>
  <c r="K23" i="8"/>
  <c r="K28" i="8" s="1"/>
  <c r="J23" i="8"/>
  <c r="J28" i="8" s="1"/>
  <c r="I23" i="8"/>
  <c r="I28" i="8" s="1"/>
  <c r="H23" i="8"/>
  <c r="H28" i="8" s="1"/>
  <c r="G23" i="8"/>
  <c r="G28" i="8" s="1"/>
  <c r="F23" i="8"/>
  <c r="F28" i="8" s="1"/>
  <c r="E23" i="8"/>
  <c r="E28" i="8" s="1"/>
  <c r="D23" i="8"/>
  <c r="D28" i="8" s="1"/>
  <c r="R20" i="8"/>
  <c r="T19" i="8"/>
  <c r="Q19" i="8"/>
  <c r="R21" i="8" s="1"/>
  <c r="Q18" i="8"/>
  <c r="R18" i="8" s="1"/>
  <c r="T17" i="8"/>
  <c r="Q17" i="8"/>
  <c r="R17" i="8" s="1"/>
  <c r="T15" i="8"/>
  <c r="Q15" i="8"/>
  <c r="R16" i="8" s="1"/>
  <c r="Q14" i="8"/>
  <c r="Q13" i="8"/>
  <c r="R13" i="8" s="1"/>
  <c r="R12" i="8"/>
  <c r="Q12" i="8"/>
  <c r="Q11" i="8"/>
  <c r="R11" i="8" s="1"/>
  <c r="T9" i="8"/>
  <c r="T8" i="8"/>
  <c r="Q8" i="8"/>
  <c r="T7" i="8"/>
  <c r="T6" i="8"/>
  <c r="T5" i="8"/>
  <c r="T23" i="8" s="1"/>
  <c r="T28" i="8" s="1"/>
  <c r="Q5" i="8"/>
  <c r="R6" i="8" s="1"/>
  <c r="P28" i="7"/>
  <c r="O28" i="7"/>
  <c r="N28" i="7"/>
  <c r="M28" i="7"/>
  <c r="L28" i="7"/>
  <c r="K28" i="7"/>
  <c r="J28" i="7"/>
  <c r="I28" i="7"/>
  <c r="H28" i="7"/>
  <c r="G28" i="7"/>
  <c r="F28" i="7"/>
  <c r="E28" i="7"/>
  <c r="Q27" i="7"/>
  <c r="R27" i="7" s="1"/>
  <c r="Q26" i="7"/>
  <c r="R26" i="7" s="1"/>
  <c r="Q25" i="7"/>
  <c r="R25" i="7" s="1"/>
  <c r="T24" i="7"/>
  <c r="Q24" i="7"/>
  <c r="R24" i="7" s="1"/>
  <c r="U23" i="7"/>
  <c r="U28" i="7" s="1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D28" i="7" s="1"/>
  <c r="T19" i="7"/>
  <c r="T17" i="7"/>
  <c r="T15" i="7"/>
  <c r="T9" i="7"/>
  <c r="T8" i="7"/>
  <c r="T7" i="7"/>
  <c r="T6" i="7"/>
  <c r="T5" i="7"/>
  <c r="Q5" i="7"/>
  <c r="S8" i="9" l="1"/>
  <c r="R11" i="9"/>
  <c r="S11" i="9" s="1"/>
  <c r="R9" i="9"/>
  <c r="S9" i="9" s="1"/>
  <c r="R12" i="9"/>
  <c r="R8" i="8"/>
  <c r="R10" i="8"/>
  <c r="F49" i="6"/>
  <c r="R7" i="8"/>
  <c r="R5" i="8"/>
  <c r="R23" i="8" s="1"/>
  <c r="R9" i="8"/>
  <c r="R14" i="8"/>
  <c r="T23" i="7"/>
  <c r="T28" i="7" s="1"/>
  <c r="Q28" i="7"/>
  <c r="F9" i="6"/>
  <c r="Q23" i="8"/>
  <c r="R15" i="8"/>
  <c r="R19" i="8"/>
  <c r="R22" i="8"/>
  <c r="R28" i="7"/>
  <c r="Q23" i="7"/>
  <c r="S12" i="9" l="1"/>
  <c r="R16" i="9"/>
  <c r="S16" i="9" s="1"/>
  <c r="R28" i="8"/>
  <c r="B9" i="3"/>
  <c r="Q28" i="8"/>
  <c r="F31" i="6"/>
  <c r="F27" i="6"/>
  <c r="R23" i="7"/>
  <c r="J27" i="6"/>
  <c r="L48" i="6"/>
  <c r="M48" i="6" s="1"/>
  <c r="N48" i="6" s="1"/>
  <c r="L47" i="6"/>
  <c r="M47" i="6" s="1"/>
  <c r="N47" i="6" s="1"/>
  <c r="L46" i="6"/>
  <c r="M46" i="6" s="1"/>
  <c r="N46" i="6" s="1"/>
  <c r="L45" i="6"/>
  <c r="M45" i="6" s="1"/>
  <c r="N45" i="6" s="1"/>
  <c r="L44" i="6"/>
  <c r="M44" i="6" s="1"/>
  <c r="N44" i="6" s="1"/>
  <c r="L43" i="6"/>
  <c r="M43" i="6" s="1"/>
  <c r="N43" i="6" s="1"/>
  <c r="L42" i="6"/>
  <c r="M42" i="6" s="1"/>
  <c r="N42" i="6" s="1"/>
  <c r="L41" i="6"/>
  <c r="M41" i="6" s="1"/>
  <c r="N41" i="6" s="1"/>
  <c r="L40" i="6"/>
  <c r="M40" i="6" s="1"/>
  <c r="N40" i="6" s="1"/>
  <c r="L39" i="6"/>
  <c r="M39" i="6" s="1"/>
  <c r="N39" i="6" s="1"/>
  <c r="L38" i="6"/>
  <c r="M38" i="6" s="1"/>
  <c r="N38" i="6" s="1"/>
  <c r="L37" i="6"/>
  <c r="M37" i="6" s="1"/>
  <c r="N37" i="6" s="1"/>
  <c r="L36" i="6"/>
  <c r="M36" i="6" s="1"/>
  <c r="N36" i="6" s="1"/>
  <c r="L35" i="6"/>
  <c r="M35" i="6" s="1"/>
  <c r="N35" i="6" s="1"/>
  <c r="L34" i="6"/>
  <c r="M34" i="6" s="1"/>
  <c r="N34" i="6" s="1"/>
  <c r="L33" i="6"/>
  <c r="M33" i="6" s="1"/>
  <c r="N33" i="6" s="1"/>
  <c r="L32" i="6"/>
  <c r="M32" i="6" s="1"/>
  <c r="N32" i="6" s="1"/>
  <c r="L31" i="6"/>
  <c r="M31" i="6" s="1"/>
  <c r="N31" i="6" s="1"/>
  <c r="L49" i="6"/>
  <c r="M49" i="6" s="1"/>
  <c r="N49" i="6" s="1"/>
  <c r="J49" i="6"/>
  <c r="J45" i="6"/>
  <c r="J44" i="6"/>
  <c r="J43" i="6"/>
  <c r="J41" i="6"/>
  <c r="J40" i="6"/>
  <c r="J39" i="6"/>
  <c r="J38" i="6"/>
  <c r="J37" i="6"/>
  <c r="J34" i="6"/>
  <c r="J31" i="6"/>
  <c r="L27" i="6"/>
  <c r="M27" i="6" s="1"/>
  <c r="L26" i="6"/>
  <c r="L25" i="6"/>
  <c r="M25" i="6" s="1"/>
  <c r="L24" i="6"/>
  <c r="L23" i="6"/>
  <c r="L22" i="6"/>
  <c r="M22" i="6" s="1"/>
  <c r="J22" i="6"/>
  <c r="L21" i="6"/>
  <c r="L20" i="6"/>
  <c r="J20" i="6"/>
  <c r="L19" i="6"/>
  <c r="L18" i="6"/>
  <c r="J18" i="6"/>
  <c r="L17" i="6"/>
  <c r="L16" i="6"/>
  <c r="M16" i="6" s="1"/>
  <c r="L15" i="6"/>
  <c r="J15" i="6"/>
  <c r="L14" i="6"/>
  <c r="L13" i="6"/>
  <c r="M13" i="6" s="1"/>
  <c r="L12" i="6"/>
  <c r="J12" i="6"/>
  <c r="L11" i="6"/>
  <c r="M11" i="6" s="1"/>
  <c r="L10" i="6"/>
  <c r="M10" i="6" s="1"/>
  <c r="L9" i="6"/>
  <c r="M21" i="6"/>
  <c r="M17" i="6"/>
  <c r="M9" i="6"/>
  <c r="M26" i="6"/>
  <c r="M24" i="6"/>
  <c r="M23" i="6"/>
  <c r="M20" i="6"/>
  <c r="M19" i="6"/>
  <c r="M18" i="6"/>
  <c r="M15" i="6"/>
  <c r="M14" i="6"/>
  <c r="M12" i="6"/>
  <c r="N27" i="6" l="1"/>
  <c r="N22" i="6"/>
  <c r="N14" i="6"/>
  <c r="N26" i="6"/>
  <c r="N24" i="6"/>
  <c r="N20" i="6"/>
  <c r="N18" i="6"/>
  <c r="N16" i="6"/>
  <c r="N12" i="6"/>
  <c r="N10" i="6"/>
  <c r="N25" i="6"/>
  <c r="N23" i="6"/>
  <c r="N21" i="6"/>
  <c r="N19" i="6"/>
  <c r="N17" i="6"/>
  <c r="N15" i="6"/>
  <c r="N13" i="6"/>
  <c r="N11" i="6"/>
  <c r="J24" i="6"/>
  <c r="J17" i="6"/>
  <c r="J10" i="6"/>
  <c r="J23" i="6"/>
  <c r="J25" i="6"/>
  <c r="J21" i="6"/>
  <c r="J19" i="6"/>
  <c r="J11" i="6"/>
  <c r="J16" i="6"/>
  <c r="J14" i="6"/>
  <c r="J26" i="6"/>
  <c r="J9" i="6" l="1"/>
  <c r="J13" i="6"/>
  <c r="B11" i="3" l="1"/>
  <c r="D10" i="3" l="1"/>
  <c r="D8" i="3" l="1"/>
  <c r="D9" i="3"/>
  <c r="N9" i="6" l="1"/>
</calcChain>
</file>

<file path=xl/comments1.xml><?xml version="1.0" encoding="utf-8"?>
<comments xmlns="http://schemas.openxmlformats.org/spreadsheetml/2006/main">
  <authors>
    <author>Banu Bayrak</author>
  </authors>
  <commentList>
    <comment ref="T6" authorId="0" shapeId="0">
      <text>
        <r>
          <rPr>
            <b/>
            <sz val="9"/>
            <color rgb="FF000000"/>
            <rFont val="Tahoma"/>
            <family val="2"/>
            <charset val="162"/>
          </rPr>
          <t>Banu Bayrak: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Gastronomi  öğretim elemanı (Tablo 16) ve  öğrenci  sayısı düşüldü.</t>
        </r>
      </text>
    </comment>
    <comment ref="T7" authorId="0" shapeId="0">
      <text>
        <r>
          <rPr>
            <b/>
            <sz val="9"/>
            <color indexed="81"/>
            <rFont val="Tahoma"/>
            <family val="2"/>
            <charset val="162"/>
          </rPr>
          <t>Banu Bayrak:</t>
        </r>
        <r>
          <rPr>
            <sz val="9"/>
            <color indexed="81"/>
            <rFont val="Tahoma"/>
            <family val="2"/>
            <charset val="162"/>
          </rPr>
          <t xml:space="preserve">
Diş  hekimliği laboratuvar  kapasitesi  düşüldü
</t>
        </r>
      </text>
    </comment>
    <comment ref="T9" authorId="0" shapeId="0">
      <text>
        <r>
          <rPr>
            <b/>
            <sz val="9"/>
            <color indexed="81"/>
            <rFont val="Tahoma"/>
            <family val="2"/>
          </rPr>
          <t>Banu Bayrak:</t>
        </r>
        <r>
          <rPr>
            <sz val="9"/>
            <color indexed="81"/>
            <rFont val="Tahoma"/>
            <family val="2"/>
          </rPr>
          <t xml:space="preserve">
9 idariyurt
 personel eklendi.</t>
        </r>
      </text>
    </comment>
  </commentList>
</comments>
</file>

<file path=xl/comments2.xml><?xml version="1.0" encoding="utf-8"?>
<comments xmlns="http://schemas.openxmlformats.org/spreadsheetml/2006/main">
  <authors>
    <author>Banu Bayrak</author>
  </authors>
  <commentList>
    <comment ref="T6" authorId="0" shapeId="0">
      <text>
        <r>
          <rPr>
            <b/>
            <sz val="9"/>
            <color rgb="FF000000"/>
            <rFont val="Tahoma"/>
            <family val="2"/>
            <charset val="162"/>
          </rPr>
          <t>Banu Bayrak: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Gastronomi  öğretim elemanı (Tablo 16) ve  öğrenci  sayısı düşüldü.</t>
        </r>
      </text>
    </comment>
    <comment ref="T7" authorId="0" shapeId="0">
      <text>
        <r>
          <rPr>
            <b/>
            <sz val="9"/>
            <color rgb="FF000000"/>
            <rFont val="Tahoma"/>
            <family val="2"/>
            <charset val="162"/>
          </rPr>
          <t>Banu Bayrak: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 xml:space="preserve">Diş  hekimliği laboratuvar  kapasitesi  düşüldü
</t>
        </r>
      </text>
    </comment>
    <comment ref="T9" authorId="0" shapeId="0">
      <text>
        <r>
          <rPr>
            <b/>
            <sz val="9"/>
            <color indexed="81"/>
            <rFont val="Tahoma"/>
            <family val="2"/>
          </rPr>
          <t>Banu Bayrak:</t>
        </r>
        <r>
          <rPr>
            <sz val="9"/>
            <color indexed="81"/>
            <rFont val="Tahoma"/>
            <family val="2"/>
          </rPr>
          <t xml:space="preserve">
9 idariyurt
 personel eklendi.</t>
        </r>
      </text>
    </comment>
  </commentList>
</comments>
</file>

<file path=xl/comments3.xml><?xml version="1.0" encoding="utf-8"?>
<comments xmlns="http://schemas.openxmlformats.org/spreadsheetml/2006/main">
  <authors>
    <author>Banu Bayrak</author>
  </authors>
  <commentList>
    <comment ref="T9" authorId="0" shapeId="0">
      <text>
        <r>
          <rPr>
            <b/>
            <sz val="9"/>
            <color rgb="FF000000"/>
            <rFont val="Tahoma"/>
            <family val="2"/>
            <charset val="162"/>
          </rPr>
          <t>Banu Bayrak: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>Gastronomi  öğretim elemanı (Tablo 16) ve  öğrenci  sayısı düşüldü.</t>
        </r>
      </text>
    </comment>
    <comment ref="T10" authorId="0" shapeId="0">
      <text>
        <r>
          <rPr>
            <b/>
            <sz val="9"/>
            <color rgb="FF000000"/>
            <rFont val="Tahoma"/>
            <family val="2"/>
            <charset val="162"/>
          </rPr>
          <t>Banu Bayrak:</t>
        </r>
        <r>
          <rPr>
            <sz val="9"/>
            <color rgb="FF000000"/>
            <rFont val="Tahoma"/>
            <family val="2"/>
            <charset val="162"/>
          </rPr>
          <t xml:space="preserve">
</t>
        </r>
        <r>
          <rPr>
            <sz val="9"/>
            <color rgb="FF000000"/>
            <rFont val="Tahoma"/>
            <family val="2"/>
            <charset val="162"/>
          </rPr>
          <t xml:space="preserve">Diş  hekimliği laboratuvar  kapasitesi  düşüldü
</t>
        </r>
      </text>
    </comment>
  </commentList>
</comments>
</file>

<file path=xl/sharedStrings.xml><?xml version="1.0" encoding="utf-8"?>
<sst xmlns="http://schemas.openxmlformats.org/spreadsheetml/2006/main" count="291" uniqueCount="80">
  <si>
    <t>Süreç (Enerjinin Kullanıldığı Bölüm)</t>
  </si>
  <si>
    <t>Bölüm Enerji Boyutu</t>
  </si>
  <si>
    <t>Enerji Türü</t>
  </si>
  <si>
    <t>Kabul Seviyesi</t>
  </si>
  <si>
    <t>%</t>
  </si>
  <si>
    <t>Alınacak Önlem ve İyileştirme Faaliyetleri</t>
  </si>
  <si>
    <t xml:space="preserve">Yıllık Enerji Kullanım </t>
  </si>
  <si>
    <t xml:space="preserve">Bölümde Yıllık Enerji Kullanım </t>
  </si>
  <si>
    <t>Enerji Tüketim Seviyesi</t>
  </si>
  <si>
    <t>S.No</t>
  </si>
  <si>
    <t>GÖZDEN GEÇİRME</t>
  </si>
  <si>
    <t>YÖNETİM TEMSİLCİSİ</t>
  </si>
  <si>
    <t>ENERJİ YÖNETİCİSİ</t>
  </si>
  <si>
    <t>ONAY</t>
  </si>
  <si>
    <t>Elektrik</t>
  </si>
  <si>
    <t>Birim</t>
  </si>
  <si>
    <t>Kwh</t>
  </si>
  <si>
    <t>Önem Derecesi</t>
  </si>
  <si>
    <t>Enerji Tüketim Boyutu ( % )</t>
  </si>
  <si>
    <t>Doküman No</t>
  </si>
  <si>
    <t>Revizyon No</t>
  </si>
  <si>
    <t>Revizyon Tarihi</t>
  </si>
  <si>
    <t>İlk Yayın Tarihi</t>
  </si>
  <si>
    <t>-</t>
  </si>
  <si>
    <t>Doğalgaz</t>
  </si>
  <si>
    <t>TOPLAM</t>
  </si>
  <si>
    <t>Mazot</t>
  </si>
  <si>
    <t>Tuzla Kampüs</t>
  </si>
  <si>
    <t>Mühendislik ve Doğa Bilimleri  Fakültesi</t>
  </si>
  <si>
    <t>Sanat ,Tasarım ve Mimarlık  Fakültesi + Uygulamalı Bilimler+MeslekYüksekokulu</t>
  </si>
  <si>
    <t>Tıp Fakültesi+Sağlık Bilimleri + Diş Hekimliği+SHMYO</t>
  </si>
  <si>
    <t>Yabancı Diller Fakültesi+İnsan Toplum BilimleriFakültesi+Eğitim Fakültesi</t>
  </si>
  <si>
    <t>Türkan Ömer yurdu</t>
  </si>
  <si>
    <t>Filiz Ömer Yurdu</t>
  </si>
  <si>
    <t>Şantiye Ofisler</t>
  </si>
  <si>
    <t>Yaşam Sofra (Mutfak)</t>
  </si>
  <si>
    <t>Yaşam Merkezi
Spor Merkezi</t>
  </si>
  <si>
    <t>Diş Hekimliği Fakültesi
(Diş Laboratuvarı)</t>
  </si>
  <si>
    <t>İşletme ve Yönetim Bilimleri Fakültesi+Hukuk Fakültesi</t>
  </si>
  <si>
    <t>Mehmet Okan Yurdu</t>
  </si>
  <si>
    <t>Gastronomi</t>
  </si>
  <si>
    <t>İnş. Mühendisliği Laboratuvarı</t>
  </si>
  <si>
    <t>Kongre Merkezi+Konservatuvar</t>
  </si>
  <si>
    <t>Rektörlük</t>
  </si>
  <si>
    <t>Sadık Kırbaş Yurdu</t>
  </si>
  <si>
    <t>Meral Okan Yurdu</t>
  </si>
  <si>
    <t>Mecidiyeköy
Kampüs</t>
  </si>
  <si>
    <t xml:space="preserve">Sosyal Bilimler Enstitüsü </t>
  </si>
  <si>
    <t>Sosyal Bilimler Enstitüsü Çatı</t>
  </si>
  <si>
    <t>Diş Hastanesi</t>
  </si>
  <si>
    <t>Diş Hastanesi Ofis</t>
  </si>
  <si>
    <t>Motorin</t>
  </si>
  <si>
    <t>"Toplam 
Kapalı Alan
(m²)"</t>
  </si>
  <si>
    <t>Ön Görülen Toplam Enerji Tüketimi 
2024 YILI</t>
  </si>
  <si>
    <t>Ön Görülen Yıllık Prosesin Tüketimi
2024 Yılı</t>
  </si>
  <si>
    <t>Yapı İşleri</t>
  </si>
  <si>
    <t>ENERJİ BOYUTLARI 
DEĞERLENDİRME FORMU DAĞILIM</t>
  </si>
  <si>
    <t>ENERJİ BOYUTLARI DEĞERLENDİRME FORMU</t>
  </si>
  <si>
    <t>2022-2023 Öğretim Yılı Tüketimleri</t>
  </si>
  <si>
    <t>Sıra No</t>
  </si>
  <si>
    <t>Yerleşke</t>
  </si>
  <si>
    <t>Bina Adı</t>
  </si>
  <si>
    <t>Toplam 
Kapalı Alan
(m²)</t>
  </si>
  <si>
    <t>ELEKTRİK TÜKETİMİ (kWh)</t>
  </si>
  <si>
    <t>TOPLAM TÜKETİM</t>
  </si>
  <si>
    <t>Personel ve
Öğrenci Sayısı</t>
  </si>
  <si>
    <t>Genel</t>
  </si>
  <si>
    <t>Bina Tüketim Yıllık</t>
  </si>
  <si>
    <t>Ekim-Mayıs</t>
  </si>
  <si>
    <t>Haziran-Eylül</t>
  </si>
  <si>
    <t>Toplam</t>
  </si>
  <si>
    <t>DĞALGAZ TÜKETİMİ (kWh)</t>
  </si>
  <si>
    <t>Toplam Elektrik Tükemi %</t>
  </si>
  <si>
    <t>ENERJİ TÜKETİM RAPORU</t>
  </si>
  <si>
    <t>Dönemi</t>
  </si>
  <si>
    <t>2022-2023 Öğretim Yılı</t>
  </si>
  <si>
    <t>Motorin (KwH)</t>
  </si>
  <si>
    <t>FR.YAP.003</t>
  </si>
  <si>
    <t>FR.YAP.003/Rev.00</t>
  </si>
  <si>
    <t>FR.YAP.003/Rev00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</si>
</sst>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_-;\-* #,##0_-;_-* &quot;-&quot;??_-;_-@_-"/>
  </numFmts>
  <fonts count="29" x14ac:knownFonts="1"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</font>
    <font>
      <sz val="11"/>
      <color theme="1"/>
      <name val="Calibri"/>
      <family val="2"/>
      <charset val="162"/>
    </font>
    <font>
      <sz val="12"/>
      <color theme="1"/>
      <name val="Calibri"/>
      <family val="2"/>
      <charset val="162"/>
    </font>
    <font>
      <b/>
      <sz val="14"/>
      <color theme="1"/>
      <name val="Calibri"/>
      <family val="2"/>
      <charset val="162"/>
    </font>
    <font>
      <b/>
      <sz val="11"/>
      <color rgb="FFFF0000"/>
      <name val="Calibri"/>
      <family val="2"/>
    </font>
    <font>
      <b/>
      <sz val="11"/>
      <color rgb="FFFF0000"/>
      <name val="Calibri"/>
      <family val="2"/>
      <charset val="162"/>
    </font>
    <font>
      <b/>
      <sz val="9"/>
      <color rgb="FF000000"/>
      <name val="Tahoma"/>
      <family val="2"/>
      <charset val="162"/>
    </font>
    <font>
      <sz val="9"/>
      <color rgb="FF000000"/>
      <name val="Tahoma"/>
      <family val="2"/>
      <charset val="16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  <charset val="162"/>
    </font>
    <font>
      <sz val="9"/>
      <color indexed="81"/>
      <name val="Tahoma"/>
      <family val="2"/>
      <charset val="162"/>
    </font>
    <font>
      <b/>
      <sz val="14"/>
      <color rgb="FFFF0000"/>
      <name val="Calibri"/>
      <family val="2"/>
      <charset val="162"/>
      <scheme val="minor"/>
    </font>
    <font>
      <b/>
      <sz val="18"/>
      <color theme="1"/>
      <name val="Calibri"/>
      <family val="2"/>
      <charset val="162"/>
    </font>
    <font>
      <b/>
      <sz val="10"/>
      <color rgb="FF000000"/>
      <name val="Calibri"/>
      <family val="2"/>
      <charset val="162"/>
    </font>
    <font>
      <sz val="10"/>
      <color rgb="FF000000"/>
      <name val="Calibri"/>
      <family val="2"/>
      <charset val="162"/>
    </font>
    <font>
      <b/>
      <sz val="12"/>
      <color theme="1"/>
      <name val="Calibri"/>
      <family val="2"/>
      <charset val="162"/>
    </font>
    <font>
      <sz val="10"/>
      <color theme="1"/>
      <name val="Calibri"/>
      <family val="2"/>
      <charset val="162"/>
    </font>
    <font>
      <b/>
      <sz val="15"/>
      <color theme="1"/>
      <name val="Calibri"/>
      <family val="2"/>
      <charset val="16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</fills>
  <borders count="5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</borders>
  <cellStyleXfs count="68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9" fontId="6" fillId="0" borderId="0" applyFont="0" applyFill="0" applyBorder="0" applyAlignment="0" applyProtection="0"/>
    <xf numFmtId="0" fontId="2" fillId="0" borderId="0"/>
    <xf numFmtId="43" fontId="6" fillId="0" borderId="0" applyFont="0" applyFill="0" applyBorder="0" applyAlignment="0" applyProtection="0"/>
  </cellStyleXfs>
  <cellXfs count="38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/>
    </xf>
    <xf numFmtId="2" fontId="0" fillId="0" borderId="0" xfId="0" applyNumberFormat="1" applyAlignment="1">
      <alignment horizontal="center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0" fontId="3" fillId="0" borderId="1" xfId="65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/>
    </xf>
    <xf numFmtId="0" fontId="10" fillId="0" borderId="2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164" fontId="10" fillId="0" borderId="1" xfId="67" applyNumberFormat="1" applyFont="1" applyBorder="1" applyAlignment="1">
      <alignment horizontal="center" vertical="center" wrapText="1"/>
    </xf>
    <xf numFmtId="164" fontId="10" fillId="0" borderId="1" xfId="67" applyNumberFormat="1" applyFont="1" applyBorder="1" applyAlignment="1">
      <alignment horizontal="center" vertical="center"/>
    </xf>
    <xf numFmtId="164" fontId="10" fillId="0" borderId="7" xfId="67" applyNumberFormat="1" applyFont="1" applyBorder="1" applyAlignment="1">
      <alignment horizontal="center" vertical="center" wrapText="1"/>
    </xf>
    <xf numFmtId="164" fontId="10" fillId="0" borderId="10" xfId="67" applyNumberFormat="1" applyFont="1" applyBorder="1" applyAlignment="1">
      <alignment horizontal="center" vertical="center" wrapText="1"/>
    </xf>
    <xf numFmtId="4" fontId="0" fillId="4" borderId="1" xfId="0" applyNumberFormat="1" applyFill="1" applyBorder="1" applyAlignment="1">
      <alignment vertical="center"/>
    </xf>
    <xf numFmtId="164" fontId="10" fillId="0" borderId="7" xfId="67" applyNumberFormat="1" applyFont="1" applyFill="1" applyBorder="1" applyAlignment="1">
      <alignment horizontal="center" vertical="center" wrapText="1"/>
    </xf>
    <xf numFmtId="164" fontId="10" fillId="0" borderId="1" xfId="67" applyNumberFormat="1" applyFont="1" applyFill="1" applyBorder="1" applyAlignment="1">
      <alignment horizontal="center" vertical="center" wrapText="1"/>
    </xf>
    <xf numFmtId="0" fontId="10" fillId="0" borderId="0" xfId="0" applyFont="1"/>
    <xf numFmtId="0" fontId="9" fillId="0" borderId="0" xfId="0" applyFont="1" applyAlignment="1">
      <alignment horizontal="center" vertical="center"/>
    </xf>
    <xf numFmtId="17" fontId="9" fillId="6" borderId="32" xfId="0" applyNumberFormat="1" applyFont="1" applyFill="1" applyBorder="1" applyAlignment="1">
      <alignment horizontal="center" vertical="center" wrapText="1"/>
    </xf>
    <xf numFmtId="17" fontId="9" fillId="6" borderId="10" xfId="0" applyNumberFormat="1" applyFont="1" applyFill="1" applyBorder="1" applyAlignment="1">
      <alignment horizontal="center" vertical="center" wrapText="1"/>
    </xf>
    <xf numFmtId="0" fontId="14" fillId="6" borderId="32" xfId="0" applyFont="1" applyFill="1" applyBorder="1" applyAlignment="1">
      <alignment horizontal="center" vertical="center" wrapText="1"/>
    </xf>
    <xf numFmtId="0" fontId="9" fillId="6" borderId="42" xfId="0" applyFont="1" applyFill="1" applyBorder="1" applyAlignment="1">
      <alignment horizontal="center" vertical="center" wrapText="1"/>
    </xf>
    <xf numFmtId="0" fontId="9" fillId="6" borderId="8" xfId="0" applyFont="1" applyFill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10" fillId="0" borderId="26" xfId="0" applyFont="1" applyBorder="1" applyAlignment="1">
      <alignment vertical="center" wrapText="1"/>
    </xf>
    <xf numFmtId="164" fontId="10" fillId="0" borderId="16" xfId="67" applyNumberFormat="1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0" xfId="0" applyFont="1" applyAlignment="1">
      <alignment vertical="center"/>
    </xf>
    <xf numFmtId="164" fontId="10" fillId="0" borderId="4" xfId="67" applyNumberFormat="1" applyFont="1" applyBorder="1" applyAlignment="1">
      <alignment horizontal="center" vertical="center" wrapText="1"/>
    </xf>
    <xf numFmtId="43" fontId="10" fillId="0" borderId="31" xfId="67" applyFont="1" applyBorder="1" applyAlignment="1">
      <alignment horizontal="center" vertical="center"/>
    </xf>
    <xf numFmtId="43" fontId="10" fillId="0" borderId="1" xfId="67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1" xfId="0" applyFont="1" applyBorder="1" applyAlignment="1">
      <alignment horizontal="center" vertical="center"/>
    </xf>
    <xf numFmtId="164" fontId="10" fillId="0" borderId="4" xfId="67" applyNumberFormat="1" applyFont="1" applyBorder="1" applyAlignment="1">
      <alignment horizontal="center" vertical="center"/>
    </xf>
    <xf numFmtId="0" fontId="10" fillId="0" borderId="0" xfId="0" applyFont="1" applyAlignment="1">
      <alignment vertical="top"/>
    </xf>
    <xf numFmtId="0" fontId="10" fillId="0" borderId="25" xfId="0" applyFont="1" applyBorder="1" applyAlignment="1">
      <alignment vertical="center" wrapText="1"/>
    </xf>
    <xf numFmtId="164" fontId="10" fillId="0" borderId="13" xfId="67" applyNumberFormat="1" applyFont="1" applyBorder="1" applyAlignment="1">
      <alignment horizontal="center" vertical="center" wrapText="1"/>
    </xf>
    <xf numFmtId="43" fontId="10" fillId="0" borderId="45" xfId="67" applyFont="1" applyBorder="1" applyAlignment="1">
      <alignment horizontal="center" vertical="center"/>
    </xf>
    <xf numFmtId="43" fontId="10" fillId="0" borderId="25" xfId="67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164" fontId="9" fillId="6" borderId="51" xfId="67" applyNumberFormat="1" applyFont="1" applyFill="1" applyBorder="1" applyAlignment="1">
      <alignment horizontal="center" vertical="center" wrapText="1"/>
    </xf>
    <xf numFmtId="43" fontId="9" fillId="6" borderId="52" xfId="67" applyFont="1" applyFill="1" applyBorder="1" applyAlignment="1">
      <alignment horizontal="center" vertical="center"/>
    </xf>
    <xf numFmtId="43" fontId="9" fillId="6" borderId="53" xfId="67" applyFont="1" applyFill="1" applyBorder="1" applyAlignment="1">
      <alignment horizontal="center" vertical="center"/>
    </xf>
    <xf numFmtId="164" fontId="9" fillId="6" borderId="55" xfId="67" applyNumberFormat="1" applyFont="1" applyFill="1" applyBorder="1" applyAlignment="1">
      <alignment horizontal="center" vertical="center"/>
    </xf>
    <xf numFmtId="164" fontId="9" fillId="6" borderId="54" xfId="67" applyNumberFormat="1" applyFont="1" applyFill="1" applyBorder="1" applyAlignment="1">
      <alignment horizontal="center" vertical="center"/>
    </xf>
    <xf numFmtId="43" fontId="10" fillId="0" borderId="46" xfId="67" applyFont="1" applyBorder="1" applyAlignment="1">
      <alignment horizontal="center" vertical="center"/>
    </xf>
    <xf numFmtId="43" fontId="10" fillId="0" borderId="26" xfId="67" applyFont="1" applyBorder="1" applyAlignment="1">
      <alignment horizontal="center" vertical="center"/>
    </xf>
    <xf numFmtId="164" fontId="9" fillId="6" borderId="51" xfId="0" applyNumberFormat="1" applyFont="1" applyFill="1" applyBorder="1" applyAlignment="1">
      <alignment horizontal="center" vertical="center"/>
    </xf>
    <xf numFmtId="43" fontId="9" fillId="6" borderId="52" xfId="0" applyNumberFormat="1" applyFont="1" applyFill="1" applyBorder="1" applyAlignment="1">
      <alignment horizontal="center" vertical="center"/>
    </xf>
    <xf numFmtId="43" fontId="9" fillId="6" borderId="53" xfId="0" applyNumberFormat="1" applyFont="1" applyFill="1" applyBorder="1" applyAlignment="1">
      <alignment horizontal="center" vertical="center"/>
    </xf>
    <xf numFmtId="164" fontId="9" fillId="6" borderId="55" xfId="0" applyNumberFormat="1" applyFont="1" applyFill="1" applyBorder="1" applyAlignment="1">
      <alignment horizontal="center" vertical="center"/>
    </xf>
    <xf numFmtId="164" fontId="9" fillId="6" borderId="54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3" fontId="10" fillId="0" borderId="0" xfId="0" applyNumberFormat="1" applyFont="1" applyAlignment="1">
      <alignment horizontal="center" vertical="center"/>
    </xf>
    <xf numFmtId="0" fontId="9" fillId="6" borderId="15" xfId="0" applyFont="1" applyFill="1" applyBorder="1" applyAlignment="1">
      <alignment horizontal="center" vertical="center" wrapText="1"/>
    </xf>
    <xf numFmtId="0" fontId="9" fillId="6" borderId="48" xfId="0" applyFont="1" applyFill="1" applyBorder="1" applyAlignment="1">
      <alignment horizontal="center" vertical="center"/>
    </xf>
    <xf numFmtId="43" fontId="10" fillId="0" borderId="16" xfId="67" applyFont="1" applyBorder="1" applyAlignment="1">
      <alignment horizontal="center" vertical="center"/>
    </xf>
    <xf numFmtId="43" fontId="13" fillId="0" borderId="46" xfId="67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/>
    </xf>
    <xf numFmtId="43" fontId="10" fillId="0" borderId="4" xfId="67" applyFont="1" applyBorder="1" applyAlignment="1">
      <alignment horizontal="center" vertical="center"/>
    </xf>
    <xf numFmtId="43" fontId="13" fillId="0" borderId="31" xfId="67" applyFont="1" applyBorder="1" applyAlignment="1">
      <alignment horizontal="center" vertical="center"/>
    </xf>
    <xf numFmtId="43" fontId="10" fillId="0" borderId="31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43" fontId="10" fillId="0" borderId="4" xfId="0" applyNumberFormat="1" applyFont="1" applyBorder="1" applyAlignment="1">
      <alignment horizontal="center" vertical="center"/>
    </xf>
    <xf numFmtId="43" fontId="13" fillId="0" borderId="31" xfId="0" applyNumberFormat="1" applyFont="1" applyBorder="1" applyAlignment="1">
      <alignment horizontal="center" vertical="center"/>
    </xf>
    <xf numFmtId="43" fontId="9" fillId="6" borderId="31" xfId="0" applyNumberFormat="1" applyFont="1" applyFill="1" applyBorder="1" applyAlignment="1">
      <alignment horizontal="center" vertical="center"/>
    </xf>
    <xf numFmtId="43" fontId="9" fillId="6" borderId="1" xfId="0" applyNumberFormat="1" applyFont="1" applyFill="1" applyBorder="1" applyAlignment="1">
      <alignment horizontal="center" vertical="center"/>
    </xf>
    <xf numFmtId="43" fontId="9" fillId="6" borderId="4" xfId="0" applyNumberFormat="1" applyFont="1" applyFill="1" applyBorder="1" applyAlignment="1">
      <alignment horizontal="center" vertical="center"/>
    </xf>
    <xf numFmtId="43" fontId="9" fillId="6" borderId="32" xfId="0" applyNumberFormat="1" applyFont="1" applyFill="1" applyBorder="1" applyAlignment="1">
      <alignment horizontal="center" vertical="center"/>
    </xf>
    <xf numFmtId="43" fontId="9" fillId="6" borderId="10" xfId="0" applyNumberFormat="1" applyFont="1" applyFill="1" applyBorder="1" applyAlignment="1">
      <alignment horizontal="center" vertical="center"/>
    </xf>
    <xf numFmtId="43" fontId="9" fillId="6" borderId="57" xfId="0" applyNumberFormat="1" applyFont="1" applyFill="1" applyBorder="1" applyAlignment="1">
      <alignment horizontal="center" vertical="center"/>
    </xf>
    <xf numFmtId="17" fontId="9" fillId="6" borderId="57" xfId="0" applyNumberFormat="1" applyFont="1" applyFill="1" applyBorder="1" applyAlignment="1">
      <alignment horizontal="center" vertical="center" wrapText="1"/>
    </xf>
    <xf numFmtId="0" fontId="14" fillId="6" borderId="1" xfId="0" applyFont="1" applyFill="1" applyBorder="1" applyAlignment="1">
      <alignment horizontal="center" vertical="center" wrapText="1"/>
    </xf>
    <xf numFmtId="43" fontId="10" fillId="0" borderId="13" xfId="67" applyFont="1" applyBorder="1" applyAlignment="1">
      <alignment horizontal="center" vertical="center"/>
    </xf>
    <xf numFmtId="43" fontId="9" fillId="6" borderId="51" xfId="67" applyFont="1" applyFill="1" applyBorder="1" applyAlignment="1">
      <alignment horizontal="center" vertical="center"/>
    </xf>
    <xf numFmtId="43" fontId="9" fillId="6" borderId="51" xfId="0" applyNumberFormat="1" applyFont="1" applyFill="1" applyBorder="1" applyAlignment="1">
      <alignment horizontal="center" vertical="center"/>
    </xf>
    <xf numFmtId="43" fontId="13" fillId="0" borderId="1" xfId="67" applyFont="1" applyBorder="1" applyAlignment="1">
      <alignment horizontal="center" vertical="center"/>
    </xf>
    <xf numFmtId="0" fontId="14" fillId="6" borderId="31" xfId="0" applyFont="1" applyFill="1" applyBorder="1" applyAlignment="1">
      <alignment horizontal="center" vertical="center" wrapText="1"/>
    </xf>
    <xf numFmtId="0" fontId="14" fillId="6" borderId="9" xfId="0" applyFont="1" applyFill="1" applyBorder="1" applyAlignment="1">
      <alignment horizontal="center" vertical="center" wrapText="1"/>
    </xf>
    <xf numFmtId="2" fontId="3" fillId="0" borderId="9" xfId="65" applyNumberFormat="1" applyFont="1" applyFill="1" applyBorder="1" applyAlignment="1">
      <alignment horizontal="center" vertical="center" wrapText="1"/>
    </xf>
    <xf numFmtId="43" fontId="13" fillId="6" borderId="40" xfId="0" applyNumberFormat="1" applyFont="1" applyFill="1" applyBorder="1" applyAlignment="1">
      <alignment horizontal="center" vertical="center"/>
    </xf>
    <xf numFmtId="43" fontId="13" fillId="6" borderId="29" xfId="0" applyNumberFormat="1" applyFont="1" applyFill="1" applyBorder="1" applyAlignment="1">
      <alignment horizontal="center" vertical="center"/>
    </xf>
    <xf numFmtId="43" fontId="13" fillId="6" borderId="41" xfId="0" applyNumberFormat="1" applyFont="1" applyFill="1" applyBorder="1" applyAlignment="1">
      <alignment horizontal="center" vertical="center"/>
    </xf>
    <xf numFmtId="43" fontId="13" fillId="0" borderId="32" xfId="67" applyFont="1" applyBorder="1" applyAlignment="1">
      <alignment horizontal="center" vertical="center"/>
    </xf>
    <xf numFmtId="43" fontId="13" fillId="0" borderId="10" xfId="67" applyFont="1" applyBorder="1" applyAlignment="1">
      <alignment horizontal="center" vertical="center"/>
    </xf>
    <xf numFmtId="2" fontId="3" fillId="0" borderId="11" xfId="65" applyNumberFormat="1" applyFont="1" applyFill="1" applyBorder="1" applyAlignment="1">
      <alignment horizontal="center" vertical="center" wrapText="1"/>
    </xf>
    <xf numFmtId="43" fontId="13" fillId="0" borderId="26" xfId="67" applyFont="1" applyBorder="1" applyAlignment="1">
      <alignment horizontal="center" vertical="center"/>
    </xf>
    <xf numFmtId="2" fontId="3" fillId="0" borderId="43" xfId="65" applyNumberFormat="1" applyFont="1" applyFill="1" applyBorder="1" applyAlignment="1">
      <alignment horizontal="center" vertical="center" wrapText="1"/>
    </xf>
    <xf numFmtId="43" fontId="13" fillId="6" borderId="40" xfId="67" applyFont="1" applyFill="1" applyBorder="1" applyAlignment="1">
      <alignment horizontal="center" vertical="center"/>
    </xf>
    <xf numFmtId="43" fontId="13" fillId="6" borderId="29" xfId="67" applyFont="1" applyFill="1" applyBorder="1" applyAlignment="1">
      <alignment horizontal="center" vertical="center"/>
    </xf>
    <xf numFmtId="43" fontId="13" fillId="6" borderId="41" xfId="67" applyFont="1" applyFill="1" applyBorder="1" applyAlignment="1">
      <alignment horizontal="center"/>
    </xf>
    <xf numFmtId="43" fontId="13" fillId="0" borderId="1" xfId="0" applyNumberFormat="1" applyFont="1" applyBorder="1" applyAlignment="1">
      <alignment horizontal="center" vertical="center"/>
    </xf>
    <xf numFmtId="43" fontId="13" fillId="0" borderId="10" xfId="0" applyNumberFormat="1" applyFont="1" applyBorder="1" applyAlignment="1">
      <alignment horizontal="center" vertical="center"/>
    </xf>
    <xf numFmtId="0" fontId="14" fillId="6" borderId="10" xfId="0" applyFont="1" applyFill="1" applyBorder="1" applyAlignment="1">
      <alignment horizontal="center" vertical="center" wrapText="1"/>
    </xf>
    <xf numFmtId="0" fontId="14" fillId="6" borderId="11" xfId="0" applyFont="1" applyFill="1" applyBorder="1" applyAlignment="1">
      <alignment horizontal="center" vertical="center" wrapText="1"/>
    </xf>
    <xf numFmtId="4" fontId="0" fillId="0" borderId="1" xfId="0" applyNumberFormat="1" applyBorder="1" applyAlignment="1">
      <alignment vertical="center"/>
    </xf>
    <xf numFmtId="164" fontId="10" fillId="0" borderId="25" xfId="67" applyNumberFormat="1" applyFont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/>
    </xf>
    <xf numFmtId="0" fontId="10" fillId="4" borderId="48" xfId="0" applyFont="1" applyFill="1" applyBorder="1" applyAlignment="1">
      <alignment horizontal="center" vertical="center"/>
    </xf>
    <xf numFmtId="0" fontId="10" fillId="4" borderId="43" xfId="0" applyFont="1" applyFill="1" applyBorder="1" applyAlignment="1">
      <alignment horizontal="center" vertical="center"/>
    </xf>
    <xf numFmtId="0" fontId="10" fillId="4" borderId="8" xfId="0" applyFont="1" applyFill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3" fillId="0" borderId="30" xfId="0" applyFont="1" applyBorder="1" applyAlignment="1">
      <alignment vertical="center" wrapText="1"/>
    </xf>
    <xf numFmtId="0" fontId="24" fillId="5" borderId="8" xfId="0" applyFont="1" applyFill="1" applyBorder="1" applyAlignment="1">
      <alignment horizontal="left" vertical="center" wrapText="1"/>
    </xf>
    <xf numFmtId="0" fontId="11" fillId="0" borderId="0" xfId="0" applyFont="1" applyAlignment="1">
      <alignment wrapText="1"/>
    </xf>
    <xf numFmtId="0" fontId="23" fillId="0" borderId="31" xfId="0" applyFont="1" applyBorder="1" applyAlignment="1">
      <alignment vertical="center" wrapText="1"/>
    </xf>
    <xf numFmtId="14" fontId="24" fillId="0" borderId="9" xfId="0" applyNumberFormat="1" applyFont="1" applyBorder="1" applyAlignment="1">
      <alignment horizontal="left" vertical="center" wrapText="1"/>
    </xf>
    <xf numFmtId="0" fontId="24" fillId="0" borderId="9" xfId="0" applyFont="1" applyBorder="1" applyAlignment="1">
      <alignment horizontal="left" vertical="center" wrapText="1"/>
    </xf>
    <xf numFmtId="0" fontId="23" fillId="0" borderId="32" xfId="0" applyFont="1" applyBorder="1" applyAlignment="1">
      <alignment vertical="center" wrapText="1"/>
    </xf>
    <xf numFmtId="0" fontId="24" fillId="0" borderId="11" xfId="0" applyFont="1" applyBorder="1" applyAlignment="1">
      <alignment horizontal="left" vertical="center" wrapText="1"/>
    </xf>
    <xf numFmtId="2" fontId="25" fillId="2" borderId="25" xfId="0" applyNumberFormat="1" applyFont="1" applyFill="1" applyBorder="1" applyAlignment="1">
      <alignment horizontal="center" vertical="center" wrapText="1"/>
    </xf>
    <xf numFmtId="43" fontId="25" fillId="2" borderId="25" xfId="67" applyFont="1" applyFill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horizontal="center" vertical="center"/>
    </xf>
    <xf numFmtId="1" fontId="10" fillId="0" borderId="7" xfId="0" applyNumberFormat="1" applyFont="1" applyBorder="1" applyAlignment="1">
      <alignment horizontal="center" vertical="center" wrapText="1"/>
    </xf>
    <xf numFmtId="4" fontId="11" fillId="0" borderId="7" xfId="0" applyNumberFormat="1" applyFont="1" applyBorder="1" applyAlignment="1">
      <alignment vertical="center"/>
    </xf>
    <xf numFmtId="2" fontId="10" fillId="0" borderId="7" xfId="65" applyNumberFormat="1" applyFont="1" applyFill="1" applyBorder="1" applyAlignment="1">
      <alignment horizontal="center" vertical="center" wrapText="1"/>
    </xf>
    <xf numFmtId="10" fontId="10" fillId="0" borderId="7" xfId="0" quotePrefix="1" applyNumberFormat="1" applyFont="1" applyBorder="1" applyAlignment="1">
      <alignment horizontal="center" vertical="center" wrapText="1"/>
    </xf>
    <xf numFmtId="43" fontId="10" fillId="4" borderId="7" xfId="67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0" fillId="0" borderId="3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vertical="center"/>
    </xf>
    <xf numFmtId="2" fontId="10" fillId="0" borderId="1" xfId="65" applyNumberFormat="1" applyFont="1" applyFill="1" applyBorder="1" applyAlignment="1">
      <alignment horizontal="center" vertical="center" wrapText="1"/>
    </xf>
    <xf numFmtId="10" fontId="10" fillId="0" borderId="1" xfId="0" quotePrefix="1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1" fontId="10" fillId="0" borderId="10" xfId="0" applyNumberFormat="1" applyFont="1" applyBorder="1" applyAlignment="1">
      <alignment horizontal="center" vertical="center" wrapText="1"/>
    </xf>
    <xf numFmtId="4" fontId="11" fillId="0" borderId="10" xfId="0" applyNumberFormat="1" applyFont="1" applyBorder="1" applyAlignment="1">
      <alignment vertical="center"/>
    </xf>
    <xf numFmtId="2" fontId="10" fillId="0" borderId="10" xfId="65" applyNumberFormat="1" applyFont="1" applyFill="1" applyBorder="1" applyAlignment="1">
      <alignment horizontal="center" vertical="center" wrapText="1"/>
    </xf>
    <xf numFmtId="10" fontId="10" fillId="0" borderId="10" xfId="0" quotePrefix="1" applyNumberFormat="1" applyFont="1" applyBorder="1" applyAlignment="1">
      <alignment horizontal="center" vertical="center" wrapText="1"/>
    </xf>
    <xf numFmtId="43" fontId="10" fillId="4" borderId="10" xfId="67" applyFont="1" applyFill="1" applyBorder="1" applyAlignment="1">
      <alignment horizontal="center" vertical="center" wrapText="1"/>
    </xf>
    <xf numFmtId="2" fontId="10" fillId="0" borderId="10" xfId="0" applyNumberFormat="1" applyFont="1" applyBorder="1" applyAlignment="1">
      <alignment horizontal="center" vertical="center" wrapText="1"/>
    </xf>
    <xf numFmtId="0" fontId="10" fillId="0" borderId="46" xfId="0" applyFont="1" applyBorder="1" applyAlignment="1">
      <alignment horizontal="center" vertical="center" wrapText="1"/>
    </xf>
    <xf numFmtId="1" fontId="10" fillId="0" borderId="26" xfId="0" applyNumberFormat="1" applyFont="1" applyBorder="1" applyAlignment="1">
      <alignment horizontal="center" vertical="center" wrapText="1"/>
    </xf>
    <xf numFmtId="4" fontId="11" fillId="0" borderId="26" xfId="0" applyNumberFormat="1" applyFont="1" applyBorder="1" applyAlignment="1">
      <alignment vertical="center"/>
    </xf>
    <xf numFmtId="2" fontId="10" fillId="0" borderId="26" xfId="65" applyNumberFormat="1" applyFont="1" applyFill="1" applyBorder="1" applyAlignment="1">
      <alignment horizontal="center" vertical="center" wrapText="1"/>
    </xf>
    <xf numFmtId="10" fontId="10" fillId="0" borderId="26" xfId="0" quotePrefix="1" applyNumberFormat="1" applyFont="1" applyBorder="1" applyAlignment="1">
      <alignment horizontal="center" vertical="center" wrapText="1"/>
    </xf>
    <xf numFmtId="0" fontId="10" fillId="0" borderId="45" xfId="0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horizontal="center" vertical="center"/>
    </xf>
    <xf numFmtId="1" fontId="10" fillId="0" borderId="25" xfId="0" applyNumberFormat="1" applyFont="1" applyBorder="1" applyAlignment="1">
      <alignment horizontal="center" vertical="center" wrapText="1"/>
    </xf>
    <xf numFmtId="4" fontId="11" fillId="0" borderId="25" xfId="0" applyNumberFormat="1" applyFont="1" applyBorder="1" applyAlignment="1">
      <alignment vertical="center"/>
    </xf>
    <xf numFmtId="2" fontId="10" fillId="0" borderId="25" xfId="65" applyNumberFormat="1" applyFont="1" applyFill="1" applyBorder="1" applyAlignment="1">
      <alignment horizontal="center" vertical="center" wrapText="1"/>
    </xf>
    <xf numFmtId="10" fontId="10" fillId="0" borderId="25" xfId="0" quotePrefix="1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0" fontId="10" fillId="4" borderId="30" xfId="0" applyFont="1" applyFill="1" applyBorder="1" applyAlignment="1">
      <alignment horizontal="center" vertical="center" wrapText="1"/>
    </xf>
    <xf numFmtId="0" fontId="26" fillId="4" borderId="7" xfId="66" applyFont="1" applyFill="1" applyBorder="1" applyAlignment="1" applyProtection="1">
      <alignment horizontal="left" vertical="center" wrapText="1"/>
      <protection locked="0"/>
    </xf>
    <xf numFmtId="0" fontId="26" fillId="4" borderId="7" xfId="66" applyFont="1" applyFill="1" applyBorder="1" applyAlignment="1" applyProtection="1">
      <alignment horizontal="center" vertical="center" wrapText="1"/>
      <protection locked="0"/>
    </xf>
    <xf numFmtId="4" fontId="11" fillId="4" borderId="7" xfId="0" applyNumberFormat="1" applyFont="1" applyFill="1" applyBorder="1" applyAlignment="1">
      <alignment vertical="center"/>
    </xf>
    <xf numFmtId="1" fontId="10" fillId="4" borderId="7" xfId="0" applyNumberFormat="1" applyFont="1" applyFill="1" applyBorder="1" applyAlignment="1">
      <alignment horizontal="center" vertical="center" wrapText="1"/>
    </xf>
    <xf numFmtId="2" fontId="10" fillId="4" borderId="7" xfId="65" applyNumberFormat="1" applyFont="1" applyFill="1" applyBorder="1" applyAlignment="1">
      <alignment horizontal="center" vertical="center" wrapText="1"/>
    </xf>
    <xf numFmtId="10" fontId="10" fillId="4" borderId="7" xfId="0" quotePrefix="1" applyNumberFormat="1" applyFont="1" applyFill="1" applyBorder="1" applyAlignment="1">
      <alignment horizontal="center" vertical="center" wrapText="1"/>
    </xf>
    <xf numFmtId="2" fontId="10" fillId="4" borderId="7" xfId="0" applyNumberFormat="1" applyFont="1" applyFill="1" applyBorder="1" applyAlignment="1">
      <alignment horizontal="center" vertical="center" wrapText="1"/>
    </xf>
    <xf numFmtId="0" fontId="11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0" fillId="4" borderId="32" xfId="0" applyFont="1" applyFill="1" applyBorder="1" applyAlignment="1">
      <alignment horizontal="center" vertical="center" wrapText="1"/>
    </xf>
    <xf numFmtId="0" fontId="26" fillId="4" borderId="10" xfId="66" applyFont="1" applyFill="1" applyBorder="1" applyAlignment="1" applyProtection="1">
      <alignment horizontal="left" vertical="center" wrapText="1"/>
      <protection locked="0"/>
    </xf>
    <xf numFmtId="0" fontId="26" fillId="4" borderId="10" xfId="66" applyFont="1" applyFill="1" applyBorder="1" applyAlignment="1" applyProtection="1">
      <alignment horizontal="center" vertical="center" wrapText="1"/>
      <protection locked="0"/>
    </xf>
    <xf numFmtId="4" fontId="11" fillId="4" borderId="10" xfId="0" applyNumberFormat="1" applyFont="1" applyFill="1" applyBorder="1" applyAlignment="1">
      <alignment vertical="center"/>
    </xf>
    <xf numFmtId="1" fontId="10" fillId="4" borderId="10" xfId="0" applyNumberFormat="1" applyFont="1" applyFill="1" applyBorder="1" applyAlignment="1">
      <alignment horizontal="center" vertical="center" wrapText="1"/>
    </xf>
    <xf numFmtId="2" fontId="10" fillId="4" borderId="10" xfId="65" applyNumberFormat="1" applyFont="1" applyFill="1" applyBorder="1" applyAlignment="1">
      <alignment horizontal="center" vertical="center" wrapText="1"/>
    </xf>
    <xf numFmtId="10" fontId="10" fillId="4" borderId="10" xfId="0" quotePrefix="1" applyNumberFormat="1" applyFont="1" applyFill="1" applyBorder="1" applyAlignment="1">
      <alignment horizontal="center" vertical="center" wrapText="1"/>
    </xf>
    <xf numFmtId="2" fontId="10" fillId="4" borderId="10" xfId="0" applyNumberFormat="1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0" borderId="0" xfId="0" applyFont="1"/>
    <xf numFmtId="0" fontId="9" fillId="2" borderId="1" xfId="0" applyFont="1" applyFill="1" applyBorder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43" fontId="11" fillId="0" borderId="0" xfId="67" applyFont="1" applyAlignment="1">
      <alignment horizontal="center"/>
    </xf>
    <xf numFmtId="43" fontId="11" fillId="0" borderId="0" xfId="67" applyFont="1" applyAlignment="1">
      <alignment wrapText="1"/>
    </xf>
    <xf numFmtId="2" fontId="11" fillId="0" borderId="0" xfId="0" applyNumberFormat="1" applyFont="1" applyAlignment="1">
      <alignment wrapText="1"/>
    </xf>
    <xf numFmtId="2" fontId="11" fillId="0" borderId="0" xfId="0" applyNumberFormat="1" applyFont="1" applyAlignment="1">
      <alignment horizontal="center" wrapText="1"/>
    </xf>
    <xf numFmtId="43" fontId="11" fillId="0" borderId="0" xfId="67" applyFont="1" applyAlignment="1">
      <alignment horizont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26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23" fillId="0" borderId="7" xfId="0" applyFont="1" applyBorder="1" applyAlignment="1">
      <alignment vertical="center" wrapText="1"/>
    </xf>
    <xf numFmtId="0" fontId="23" fillId="0" borderId="1" xfId="0" applyFont="1" applyBorder="1" applyAlignment="1">
      <alignment vertical="center" wrapText="1"/>
    </xf>
    <xf numFmtId="0" fontId="23" fillId="0" borderId="10" xfId="0" applyFont="1" applyBorder="1" applyAlignment="1">
      <alignment vertical="center" wrapText="1"/>
    </xf>
    <xf numFmtId="43" fontId="10" fillId="0" borderId="31" xfId="67" applyFont="1" applyBorder="1" applyAlignment="1">
      <alignment vertical="center"/>
    </xf>
    <xf numFmtId="43" fontId="10" fillId="0" borderId="1" xfId="67" applyFont="1" applyBorder="1" applyAlignment="1">
      <alignment vertical="center"/>
    </xf>
    <xf numFmtId="43" fontId="10" fillId="0" borderId="4" xfId="67" applyFont="1" applyBorder="1" applyAlignment="1">
      <alignment vertical="center"/>
    </xf>
    <xf numFmtId="2" fontId="1" fillId="0" borderId="9" xfId="65" applyNumberFormat="1" applyFont="1" applyFill="1" applyBorder="1" applyAlignment="1">
      <alignment horizontal="center" vertical="center" wrapText="1"/>
    </xf>
    <xf numFmtId="2" fontId="1" fillId="0" borderId="43" xfId="65" applyNumberFormat="1" applyFont="1" applyFill="1" applyBorder="1" applyAlignment="1">
      <alignment horizontal="center" vertical="center" wrapText="1"/>
    </xf>
    <xf numFmtId="2" fontId="1" fillId="0" borderId="11" xfId="65" applyNumberFormat="1" applyFont="1" applyFill="1" applyBorder="1" applyAlignment="1">
      <alignment horizontal="center" vertical="center" wrapText="1"/>
    </xf>
    <xf numFmtId="4" fontId="21" fillId="0" borderId="4" xfId="0" applyNumberFormat="1" applyFont="1" applyBorder="1" applyAlignment="1">
      <alignment horizontal="center" vertical="center"/>
    </xf>
    <xf numFmtId="4" fontId="21" fillId="0" borderId="3" xfId="0" applyNumberFormat="1" applyFont="1" applyBorder="1" applyAlignment="1">
      <alignment horizontal="center" vertical="center"/>
    </xf>
    <xf numFmtId="4" fontId="21" fillId="0" borderId="5" xfId="0" applyNumberFormat="1" applyFont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 wrapText="1"/>
    </xf>
    <xf numFmtId="0" fontId="8" fillId="2" borderId="26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22" fillId="0" borderId="2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3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34" xfId="0" applyFont="1" applyBorder="1" applyAlignment="1">
      <alignment horizontal="center" vertical="center" wrapText="1"/>
    </xf>
    <xf numFmtId="0" fontId="22" fillId="0" borderId="24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35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1" fillId="0" borderId="48" xfId="0" applyFont="1" applyBorder="1" applyAlignment="1">
      <alignment horizontal="center" vertical="center" wrapText="1"/>
    </xf>
    <xf numFmtId="2" fontId="10" fillId="0" borderId="26" xfId="0" applyNumberFormat="1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25" xfId="0" applyNumberFormat="1" applyFont="1" applyBorder="1" applyAlignment="1">
      <alignment horizontal="center" vertical="center" wrapText="1"/>
    </xf>
    <xf numFmtId="10" fontId="10" fillId="0" borderId="26" xfId="0" quotePrefix="1" applyNumberFormat="1" applyFont="1" applyBorder="1" applyAlignment="1">
      <alignment horizontal="center" vertical="center" wrapText="1"/>
    </xf>
    <xf numFmtId="10" fontId="10" fillId="0" borderId="1" xfId="0" quotePrefix="1" applyNumberFormat="1" applyFont="1" applyBorder="1" applyAlignment="1">
      <alignment horizontal="center" vertical="center" wrapText="1"/>
    </xf>
    <xf numFmtId="10" fontId="10" fillId="0" borderId="25" xfId="0" quotePrefix="1" applyNumberFormat="1" applyFont="1" applyBorder="1" applyAlignment="1">
      <alignment horizontal="center" vertical="center" wrapText="1"/>
    </xf>
    <xf numFmtId="0" fontId="11" fillId="0" borderId="26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/>
    </xf>
    <xf numFmtId="0" fontId="9" fillId="0" borderId="25" xfId="0" applyFont="1" applyBorder="1" applyAlignment="1">
      <alignment horizontal="center" vertical="center" textRotation="90"/>
    </xf>
    <xf numFmtId="4" fontId="11" fillId="0" borderId="7" xfId="0" applyNumberFormat="1" applyFont="1" applyBorder="1" applyAlignment="1">
      <alignment horizontal="center" vertical="center"/>
    </xf>
    <xf numFmtId="4" fontId="11" fillId="0" borderId="1" xfId="0" applyNumberFormat="1" applyFont="1" applyBorder="1" applyAlignment="1">
      <alignment horizontal="center" vertical="center"/>
    </xf>
    <xf numFmtId="4" fontId="11" fillId="0" borderId="25" xfId="0" applyNumberFormat="1" applyFont="1" applyBorder="1" applyAlignment="1">
      <alignment horizontal="center" vertical="center"/>
    </xf>
    <xf numFmtId="43" fontId="10" fillId="4" borderId="7" xfId="67" applyFont="1" applyFill="1" applyBorder="1" applyAlignment="1">
      <alignment horizontal="center" vertical="center" wrapText="1"/>
    </xf>
    <xf numFmtId="43" fontId="10" fillId="4" borderId="1" xfId="67" applyFont="1" applyFill="1" applyBorder="1" applyAlignment="1">
      <alignment horizontal="center" vertical="center" wrapText="1"/>
    </xf>
    <xf numFmtId="43" fontId="10" fillId="4" borderId="10" xfId="67" applyFont="1" applyFill="1" applyBorder="1" applyAlignment="1">
      <alignment horizontal="center" vertical="center" wrapText="1"/>
    </xf>
    <xf numFmtId="4" fontId="11" fillId="0" borderId="26" xfId="0" applyNumberFormat="1" applyFont="1" applyBorder="1" applyAlignment="1">
      <alignment horizontal="center" vertical="center"/>
    </xf>
    <xf numFmtId="43" fontId="10" fillId="4" borderId="26" xfId="67" applyFont="1" applyFill="1" applyBorder="1" applyAlignment="1">
      <alignment horizontal="center" vertical="center" wrapText="1"/>
    </xf>
    <xf numFmtId="43" fontId="10" fillId="4" borderId="25" xfId="67" applyFont="1" applyFill="1" applyBorder="1" applyAlignment="1">
      <alignment horizontal="center" vertical="center" wrapText="1"/>
    </xf>
    <xf numFmtId="4" fontId="11" fillId="0" borderId="10" xfId="0" applyNumberFormat="1" applyFont="1" applyBorder="1" applyAlignment="1">
      <alignment horizontal="center" vertical="center"/>
    </xf>
    <xf numFmtId="2" fontId="10" fillId="0" borderId="7" xfId="65" applyNumberFormat="1" applyFont="1" applyFill="1" applyBorder="1" applyAlignment="1">
      <alignment horizontal="center" vertical="center" wrapText="1"/>
    </xf>
    <xf numFmtId="2" fontId="10" fillId="0" borderId="1" xfId="65" applyNumberFormat="1" applyFont="1" applyFill="1" applyBorder="1" applyAlignment="1">
      <alignment horizontal="center" vertical="center" wrapText="1"/>
    </xf>
    <xf numFmtId="2" fontId="10" fillId="0" borderId="25" xfId="65" applyNumberFormat="1" applyFont="1" applyFill="1" applyBorder="1" applyAlignment="1">
      <alignment horizontal="center" vertical="center" wrapText="1"/>
    </xf>
    <xf numFmtId="10" fontId="10" fillId="0" borderId="7" xfId="0" quotePrefix="1" applyNumberFormat="1" applyFont="1" applyBorder="1" applyAlignment="1">
      <alignment horizontal="center" vertical="center" wrapText="1"/>
    </xf>
    <xf numFmtId="4" fontId="11" fillId="4" borderId="7" xfId="0" applyNumberFormat="1" applyFont="1" applyFill="1" applyBorder="1" applyAlignment="1">
      <alignment horizontal="center" vertical="center"/>
    </xf>
    <xf numFmtId="4" fontId="11" fillId="4" borderId="1" xfId="0" applyNumberFormat="1" applyFont="1" applyFill="1" applyBorder="1" applyAlignment="1">
      <alignment horizontal="center" vertical="center"/>
    </xf>
    <xf numFmtId="4" fontId="11" fillId="4" borderId="25" xfId="0" applyNumberFormat="1" applyFont="1" applyFill="1" applyBorder="1" applyAlignment="1">
      <alignment horizontal="center" vertical="center"/>
    </xf>
    <xf numFmtId="0" fontId="9" fillId="0" borderId="10" xfId="0" applyFont="1" applyBorder="1" applyAlignment="1">
      <alignment horizontal="center" vertical="center" textRotation="90"/>
    </xf>
    <xf numFmtId="0" fontId="9" fillId="0" borderId="26" xfId="0" applyFont="1" applyBorder="1" applyAlignment="1">
      <alignment horizontal="center" vertical="center" textRotation="90" wrapText="1"/>
    </xf>
    <xf numFmtId="164" fontId="10" fillId="0" borderId="26" xfId="67" applyNumberFormat="1" applyFont="1" applyBorder="1" applyAlignment="1">
      <alignment horizontal="center" vertical="center" wrapText="1"/>
    </xf>
    <xf numFmtId="164" fontId="10" fillId="0" borderId="1" xfId="67" applyNumberFormat="1" applyFont="1" applyBorder="1" applyAlignment="1">
      <alignment horizontal="center" vertical="center" wrapText="1"/>
    </xf>
    <xf numFmtId="164" fontId="10" fillId="0" borderId="25" xfId="67" applyNumberFormat="1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2" fontId="11" fillId="0" borderId="1" xfId="0" applyNumberFormat="1" applyFont="1" applyBorder="1" applyAlignment="1">
      <alignment horizontal="center" wrapText="1"/>
    </xf>
    <xf numFmtId="0" fontId="9" fillId="3" borderId="1" xfId="0" applyFont="1" applyFill="1" applyBorder="1" applyAlignment="1">
      <alignment horizontal="center"/>
    </xf>
    <xf numFmtId="2" fontId="10" fillId="0" borderId="7" xfId="0" applyNumberFormat="1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textRotation="90" wrapText="1"/>
    </xf>
    <xf numFmtId="164" fontId="10" fillId="0" borderId="7" xfId="67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wrapText="1"/>
    </xf>
    <xf numFmtId="2" fontId="11" fillId="0" borderId="3" xfId="0" applyNumberFormat="1" applyFont="1" applyBorder="1" applyAlignment="1">
      <alignment horizontal="center" wrapText="1"/>
    </xf>
    <xf numFmtId="2" fontId="11" fillId="0" borderId="5" xfId="0" applyNumberFormat="1" applyFont="1" applyBorder="1" applyAlignment="1">
      <alignment horizont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14" fontId="11" fillId="0" borderId="13" xfId="0" applyNumberFormat="1" applyFont="1" applyBorder="1" applyAlignment="1">
      <alignment horizontal="center" vertical="center"/>
    </xf>
    <xf numFmtId="14" fontId="11" fillId="0" borderId="14" xfId="0" applyNumberFormat="1" applyFont="1" applyBorder="1" applyAlignment="1">
      <alignment horizontal="center" vertical="center"/>
    </xf>
    <xf numFmtId="14" fontId="11" fillId="0" borderId="15" xfId="0" applyNumberFormat="1" applyFont="1" applyBorder="1" applyAlignment="1">
      <alignment horizontal="center" vertical="center"/>
    </xf>
    <xf numFmtId="14" fontId="11" fillId="0" borderId="6" xfId="0" applyNumberFormat="1" applyFont="1" applyBorder="1" applyAlignment="1">
      <alignment horizontal="center" vertical="center"/>
    </xf>
    <xf numFmtId="14" fontId="11" fillId="0" borderId="0" xfId="0" applyNumberFormat="1" applyFont="1" applyAlignment="1">
      <alignment horizontal="center" vertical="center"/>
    </xf>
    <xf numFmtId="14" fontId="11" fillId="0" borderId="12" xfId="0" applyNumberFormat="1" applyFont="1" applyBorder="1" applyAlignment="1">
      <alignment horizontal="center" vertical="center"/>
    </xf>
    <xf numFmtId="14" fontId="11" fillId="0" borderId="16" xfId="0" applyNumberFormat="1" applyFont="1" applyBorder="1" applyAlignment="1">
      <alignment horizontal="center" vertical="center"/>
    </xf>
    <xf numFmtId="14" fontId="11" fillId="0" borderId="2" xfId="0" applyNumberFormat="1" applyFont="1" applyBorder="1" applyAlignment="1">
      <alignment horizontal="center" vertical="center"/>
    </xf>
    <xf numFmtId="14" fontId="11" fillId="0" borderId="17" xfId="0" applyNumberFormat="1" applyFont="1" applyBorder="1" applyAlignment="1">
      <alignment horizontal="center" vertical="center"/>
    </xf>
    <xf numFmtId="0" fontId="11" fillId="0" borderId="16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17" xfId="0" applyFont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5" xfId="0" applyFont="1" applyFill="1" applyBorder="1" applyAlignment="1">
      <alignment horizontal="center"/>
    </xf>
    <xf numFmtId="2" fontId="25" fillId="2" borderId="25" xfId="0" applyNumberFormat="1" applyFont="1" applyFill="1" applyBorder="1" applyAlignment="1">
      <alignment horizontal="center" vertical="center" wrapText="1"/>
    </xf>
    <xf numFmtId="2" fontId="25" fillId="2" borderId="27" xfId="0" applyNumberFormat="1" applyFont="1" applyFill="1" applyBorder="1" applyAlignment="1">
      <alignment horizontal="center" vertical="center" wrapText="1"/>
    </xf>
    <xf numFmtId="2" fontId="25" fillId="2" borderId="1" xfId="0" applyNumberFormat="1" applyFont="1" applyFill="1" applyBorder="1" applyAlignment="1">
      <alignment horizontal="center" vertical="center" wrapText="1"/>
    </xf>
    <xf numFmtId="43" fontId="25" fillId="2" borderId="25" xfId="67" applyFont="1" applyFill="1" applyBorder="1" applyAlignment="1">
      <alignment horizontal="center" vertical="center" wrapText="1"/>
    </xf>
    <xf numFmtId="43" fontId="25" fillId="2" borderId="27" xfId="67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wrapText="1"/>
    </xf>
    <xf numFmtId="0" fontId="25" fillId="2" borderId="1" xfId="0" applyFont="1" applyFill="1" applyBorder="1" applyAlignment="1">
      <alignment horizontal="center" vertical="center" wrapText="1"/>
    </xf>
    <xf numFmtId="0" fontId="25" fillId="2" borderId="25" xfId="0" applyFont="1" applyFill="1" applyBorder="1" applyAlignment="1">
      <alignment horizontal="center" vertical="center" wrapText="1"/>
    </xf>
    <xf numFmtId="0" fontId="25" fillId="2" borderId="27" xfId="0" applyFont="1" applyFill="1" applyBorder="1" applyAlignment="1">
      <alignment horizontal="center" vertical="center" wrapText="1"/>
    </xf>
    <xf numFmtId="0" fontId="25" fillId="2" borderId="13" xfId="0" applyFont="1" applyFill="1" applyBorder="1" applyAlignment="1">
      <alignment horizontal="center" vertical="center" wrapText="1"/>
    </xf>
    <xf numFmtId="0" fontId="25" fillId="2" borderId="15" xfId="0" applyFont="1" applyFill="1" applyBorder="1" applyAlignment="1">
      <alignment horizontal="center" vertical="center" wrapText="1"/>
    </xf>
    <xf numFmtId="0" fontId="25" fillId="2" borderId="6" xfId="0" applyFont="1" applyFill="1" applyBorder="1" applyAlignment="1">
      <alignment horizontal="center" vertical="center" wrapText="1"/>
    </xf>
    <xf numFmtId="0" fontId="25" fillId="2" borderId="12" xfId="0" applyFont="1" applyFill="1" applyBorder="1" applyAlignment="1">
      <alignment horizontal="center" vertical="center" wrapText="1"/>
    </xf>
    <xf numFmtId="2" fontId="25" fillId="2" borderId="4" xfId="0" applyNumberFormat="1" applyFont="1" applyFill="1" applyBorder="1" applyAlignment="1">
      <alignment horizontal="center" vertical="center" wrapText="1"/>
    </xf>
    <xf numFmtId="2" fontId="25" fillId="2" borderId="5" xfId="0" applyNumberFormat="1" applyFont="1" applyFill="1" applyBorder="1" applyAlignment="1">
      <alignment horizontal="center" vertical="center" wrapText="1"/>
    </xf>
    <xf numFmtId="43" fontId="10" fillId="0" borderId="26" xfId="67" applyFont="1" applyBorder="1" applyAlignment="1">
      <alignment horizontal="center" vertical="center"/>
    </xf>
    <xf numFmtId="43" fontId="10" fillId="0" borderId="1" xfId="67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9" fillId="6" borderId="36" xfId="0" applyFont="1" applyFill="1" applyBorder="1" applyAlignment="1">
      <alignment horizontal="center" vertical="center"/>
    </xf>
    <xf numFmtId="0" fontId="9" fillId="6" borderId="40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  <xf numFmtId="0" fontId="9" fillId="6" borderId="29" xfId="0" applyFont="1" applyFill="1" applyBorder="1" applyAlignment="1">
      <alignment horizontal="center" vertical="center"/>
    </xf>
    <xf numFmtId="0" fontId="9" fillId="6" borderId="6" xfId="0" applyFont="1" applyFill="1" applyBorder="1" applyAlignment="1">
      <alignment horizontal="center" vertical="center" wrapText="1"/>
    </xf>
    <xf numFmtId="0" fontId="9" fillId="6" borderId="20" xfId="0" applyFont="1" applyFill="1" applyBorder="1" applyAlignment="1">
      <alignment horizontal="center" vertical="center" wrapText="1"/>
    </xf>
    <xf numFmtId="0" fontId="9" fillId="6" borderId="30" xfId="0" applyFont="1" applyFill="1" applyBorder="1" applyAlignment="1">
      <alignment horizontal="center" vertical="center" wrapText="1"/>
    </xf>
    <xf numFmtId="0" fontId="9" fillId="6" borderId="7" xfId="0" applyFont="1" applyFill="1" applyBorder="1" applyAlignment="1">
      <alignment horizontal="center" vertical="center" wrapText="1"/>
    </xf>
    <xf numFmtId="0" fontId="9" fillId="6" borderId="58" xfId="0" applyFont="1" applyFill="1" applyBorder="1" applyAlignment="1">
      <alignment horizontal="center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43" xfId="0" applyFont="1" applyFill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/>
    </xf>
    <xf numFmtId="0" fontId="9" fillId="0" borderId="44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 textRotation="90"/>
    </xf>
    <xf numFmtId="0" fontId="9" fillId="0" borderId="27" xfId="0" applyFont="1" applyBorder="1" applyAlignment="1">
      <alignment horizontal="center" vertical="center" textRotation="90"/>
    </xf>
    <xf numFmtId="0" fontId="9" fillId="0" borderId="29" xfId="0" applyFont="1" applyBorder="1" applyAlignment="1">
      <alignment horizontal="center" vertical="center" textRotation="90"/>
    </xf>
    <xf numFmtId="43" fontId="10" fillId="0" borderId="46" xfId="67" applyFont="1" applyBorder="1" applyAlignment="1">
      <alignment horizontal="center" vertical="center"/>
    </xf>
    <xf numFmtId="43" fontId="10" fillId="0" borderId="31" xfId="67" applyFont="1" applyBorder="1" applyAlignment="1">
      <alignment horizontal="center" vertical="center"/>
    </xf>
    <xf numFmtId="43" fontId="10" fillId="0" borderId="16" xfId="67" applyFont="1" applyBorder="1" applyAlignment="1">
      <alignment horizontal="center" vertical="center"/>
    </xf>
    <xf numFmtId="43" fontId="10" fillId="0" borderId="4" xfId="67" applyFont="1" applyBorder="1" applyAlignment="1">
      <alignment horizontal="center" vertical="center"/>
    </xf>
    <xf numFmtId="43" fontId="13" fillId="0" borderId="46" xfId="67" applyFont="1" applyBorder="1" applyAlignment="1">
      <alignment horizontal="center" vertical="center"/>
    </xf>
    <xf numFmtId="43" fontId="13" fillId="0" borderId="31" xfId="67" applyFont="1" applyBorder="1" applyAlignment="1">
      <alignment horizontal="center" vertical="center"/>
    </xf>
    <xf numFmtId="0" fontId="9" fillId="0" borderId="4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46" xfId="0" applyFont="1" applyBorder="1" applyAlignment="1">
      <alignment horizontal="center" vertical="center"/>
    </xf>
    <xf numFmtId="43" fontId="10" fillId="0" borderId="31" xfId="0" applyNumberFormat="1" applyFont="1" applyBorder="1" applyAlignment="1">
      <alignment horizontal="center" vertical="center"/>
    </xf>
    <xf numFmtId="43" fontId="10" fillId="0" borderId="1" xfId="0" applyNumberFormat="1" applyFont="1" applyBorder="1" applyAlignment="1">
      <alignment horizontal="center" vertical="center"/>
    </xf>
    <xf numFmtId="0" fontId="9" fillId="0" borderId="47" xfId="0" applyFont="1" applyBorder="1" applyAlignment="1">
      <alignment horizontal="center" vertical="center"/>
    </xf>
    <xf numFmtId="43" fontId="10" fillId="0" borderId="4" xfId="0" applyNumberFormat="1" applyFont="1" applyBorder="1" applyAlignment="1">
      <alignment horizontal="center" vertical="center"/>
    </xf>
    <xf numFmtId="43" fontId="13" fillId="0" borderId="31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/>
    </xf>
    <xf numFmtId="0" fontId="10" fillId="0" borderId="15" xfId="0" applyFont="1" applyBorder="1" applyAlignment="1">
      <alignment horizontal="center" vertical="center"/>
    </xf>
    <xf numFmtId="0" fontId="9" fillId="6" borderId="52" xfId="0" applyFont="1" applyFill="1" applyBorder="1" applyAlignment="1">
      <alignment horizontal="right" vertical="center" wrapText="1"/>
    </xf>
    <xf numFmtId="0" fontId="9" fillId="6" borderId="53" xfId="0" applyFont="1" applyFill="1" applyBorder="1" applyAlignment="1">
      <alignment horizontal="right" vertical="center" wrapText="1"/>
    </xf>
    <xf numFmtId="0" fontId="13" fillId="6" borderId="30" xfId="0" applyFont="1" applyFill="1" applyBorder="1" applyAlignment="1">
      <alignment horizontal="center" vertical="center" wrapText="1"/>
    </xf>
    <xf numFmtId="0" fontId="13" fillId="6" borderId="7" xfId="0" applyFont="1" applyFill="1" applyBorder="1" applyAlignment="1">
      <alignment horizontal="center" vertical="center" wrapText="1"/>
    </xf>
    <xf numFmtId="0" fontId="13" fillId="6" borderId="8" xfId="0" applyFont="1" applyFill="1" applyBorder="1" applyAlignment="1">
      <alignment horizontal="center" vertical="center" wrapText="1"/>
    </xf>
    <xf numFmtId="2" fontId="3" fillId="0" borderId="43" xfId="65" applyNumberFormat="1" applyFont="1" applyFill="1" applyBorder="1" applyAlignment="1">
      <alignment horizontal="center" vertical="center" wrapText="1"/>
    </xf>
    <xf numFmtId="2" fontId="3" fillId="0" borderId="9" xfId="65" applyNumberFormat="1" applyFont="1" applyFill="1" applyBorder="1" applyAlignment="1">
      <alignment horizontal="center" vertical="center" wrapText="1"/>
    </xf>
    <xf numFmtId="2" fontId="3" fillId="0" borderId="11" xfId="65" applyNumberFormat="1" applyFont="1" applyFill="1" applyBorder="1" applyAlignment="1">
      <alignment horizontal="center" vertical="center" wrapText="1"/>
    </xf>
    <xf numFmtId="43" fontId="13" fillId="0" borderId="46" xfId="0" applyNumberFormat="1" applyFont="1" applyBorder="1" applyAlignment="1">
      <alignment horizontal="center" vertical="center"/>
    </xf>
    <xf numFmtId="43" fontId="13" fillId="0" borderId="32" xfId="0" applyNumberFormat="1" applyFont="1" applyBorder="1" applyAlignment="1">
      <alignment horizontal="center" vertical="center"/>
    </xf>
    <xf numFmtId="43" fontId="13" fillId="0" borderId="26" xfId="0" applyNumberFormat="1" applyFont="1" applyBorder="1" applyAlignment="1">
      <alignment horizontal="center" vertical="center"/>
    </xf>
    <xf numFmtId="43" fontId="13" fillId="0" borderId="1" xfId="0" applyNumberFormat="1" applyFont="1" applyBorder="1" applyAlignment="1">
      <alignment horizontal="center" vertical="center"/>
    </xf>
    <xf numFmtId="43" fontId="13" fillId="0" borderId="10" xfId="0" applyNumberFormat="1" applyFont="1" applyBorder="1" applyAlignment="1">
      <alignment horizontal="center" vertical="center"/>
    </xf>
    <xf numFmtId="0" fontId="9" fillId="6" borderId="49" xfId="0" applyFont="1" applyFill="1" applyBorder="1" applyAlignment="1">
      <alignment horizontal="right" vertical="center"/>
    </xf>
    <xf numFmtId="0" fontId="9" fillId="6" borderId="50" xfId="0" applyFont="1" applyFill="1" applyBorder="1" applyAlignment="1">
      <alignment horizontal="right" vertical="center"/>
    </xf>
    <xf numFmtId="0" fontId="9" fillId="0" borderId="56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 textRotation="90" wrapText="1"/>
    </xf>
    <xf numFmtId="0" fontId="9" fillId="0" borderId="6" xfId="0" applyFont="1" applyBorder="1" applyAlignment="1">
      <alignment horizontal="center" vertical="center" textRotation="90"/>
    </xf>
    <xf numFmtId="164" fontId="10" fillId="0" borderId="2" xfId="67" applyNumberFormat="1" applyFont="1" applyBorder="1" applyAlignment="1">
      <alignment horizontal="center" vertical="center" wrapText="1"/>
    </xf>
    <xf numFmtId="164" fontId="10" fillId="0" borderId="3" xfId="67" applyNumberFormat="1" applyFont="1" applyBorder="1" applyAlignment="1">
      <alignment horizontal="center" vertical="center" wrapText="1"/>
    </xf>
    <xf numFmtId="164" fontId="10" fillId="0" borderId="14" xfId="67" applyNumberFormat="1" applyFont="1" applyBorder="1" applyAlignment="1">
      <alignment horizontal="center" vertical="center" wrapText="1"/>
    </xf>
    <xf numFmtId="0" fontId="9" fillId="6" borderId="37" xfId="0" applyFont="1" applyFill="1" applyBorder="1" applyAlignment="1">
      <alignment horizontal="center" vertical="center" wrapText="1"/>
    </xf>
    <xf numFmtId="0" fontId="9" fillId="6" borderId="41" xfId="0" applyFont="1" applyFill="1" applyBorder="1" applyAlignment="1">
      <alignment horizontal="center" vertical="center" wrapText="1"/>
    </xf>
    <xf numFmtId="0" fontId="9" fillId="6" borderId="38" xfId="0" applyFont="1" applyFill="1" applyBorder="1" applyAlignment="1">
      <alignment horizontal="center" vertical="center" wrapText="1"/>
    </xf>
    <xf numFmtId="0" fontId="9" fillId="6" borderId="39" xfId="0" applyFont="1" applyFill="1" applyBorder="1" applyAlignment="1">
      <alignment horizontal="center" vertical="center" wrapText="1"/>
    </xf>
    <xf numFmtId="0" fontId="9" fillId="6" borderId="12" xfId="0" applyFont="1" applyFill="1" applyBorder="1" applyAlignment="1">
      <alignment horizontal="center" vertical="center" wrapText="1"/>
    </xf>
    <xf numFmtId="43" fontId="10" fillId="0" borderId="30" xfId="67" applyFont="1" applyBorder="1" applyAlignment="1">
      <alignment horizontal="center" vertical="center"/>
    </xf>
    <xf numFmtId="43" fontId="10" fillId="0" borderId="45" xfId="67" applyFont="1" applyBorder="1" applyAlignment="1">
      <alignment horizontal="center" vertical="center"/>
    </xf>
    <xf numFmtId="43" fontId="10" fillId="0" borderId="7" xfId="67" applyFont="1" applyBorder="1" applyAlignment="1">
      <alignment horizontal="center" vertical="center"/>
    </xf>
    <xf numFmtId="43" fontId="10" fillId="0" borderId="25" xfId="67" applyFont="1" applyBorder="1" applyAlignment="1">
      <alignment horizontal="center" vertical="center"/>
    </xf>
    <xf numFmtId="43" fontId="10" fillId="0" borderId="58" xfId="67" applyFont="1" applyBorder="1" applyAlignment="1">
      <alignment horizontal="center" vertical="center"/>
    </xf>
    <xf numFmtId="43" fontId="10" fillId="0" borderId="13" xfId="67" applyFont="1" applyBorder="1" applyAlignment="1">
      <alignment horizontal="center" vertical="center"/>
    </xf>
    <xf numFmtId="43" fontId="13" fillId="0" borderId="32" xfId="67" applyFont="1" applyBorder="1" applyAlignment="1">
      <alignment horizontal="center" vertical="center"/>
    </xf>
    <xf numFmtId="0" fontId="27" fillId="0" borderId="30" xfId="0" applyFont="1" applyBorder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0" fontId="27" fillId="0" borderId="31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32" xfId="0" applyFont="1" applyBorder="1" applyAlignment="1">
      <alignment horizontal="center" vertical="center"/>
    </xf>
    <xf numFmtId="0" fontId="27" fillId="0" borderId="10" xfId="0" applyFont="1" applyBorder="1" applyAlignment="1">
      <alignment horizontal="center" vertical="center"/>
    </xf>
    <xf numFmtId="0" fontId="28" fillId="4" borderId="7" xfId="0" applyFont="1" applyFill="1" applyBorder="1" applyAlignment="1">
      <alignment horizontal="left" vertical="center"/>
    </xf>
    <xf numFmtId="0" fontId="28" fillId="4" borderId="1" xfId="0" applyFont="1" applyFill="1" applyBorder="1" applyAlignment="1">
      <alignment horizontal="left" vertical="center"/>
    </xf>
    <xf numFmtId="0" fontId="10" fillId="0" borderId="7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8" fillId="4" borderId="10" xfId="0" applyFont="1" applyFill="1" applyBorder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/>
    </xf>
  </cellXfs>
  <cellStyles count="68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Normal" xfId="0" builtinId="0"/>
    <cellStyle name="Normal 2 3" xfId="66"/>
    <cellStyle name="Virgül" xfId="67" builtinId="3"/>
    <cellStyle name="Yüzde" xfId="65" builtinId="5"/>
  </cellStyles>
  <dxfs count="9">
    <dxf>
      <fill>
        <patternFill>
          <bgColor rgb="FFFF0000"/>
        </patternFill>
      </fill>
    </dxf>
    <dxf>
      <fill>
        <patternFill>
          <bgColor theme="6" tint="0.39994506668294322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C000"/>
        </patternFill>
      </fill>
    </dxf>
    <dxf>
      <fill>
        <patternFill>
          <bgColor theme="6" tint="0.39994506668294322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2</xdr:col>
      <xdr:colOff>355600</xdr:colOff>
      <xdr:row>3</xdr:row>
      <xdr:rowOff>130342</xdr:rowOff>
    </xdr:to>
    <xdr:pic>
      <xdr:nvPicPr>
        <xdr:cNvPr id="3" name="Resim 2">
          <a:extLst>
            <a:ext uri="{FF2B5EF4-FFF2-40B4-BE49-F238E27FC236}">
              <a16:creationId xmlns:a16="http://schemas.microsoft.com/office/drawing/2014/main" id="{AEBC724A-D5D0-A74B-8B5B-F37880A1A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0"/>
          <a:ext cx="1892300" cy="86694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50800</xdr:rowOff>
    </xdr:from>
    <xdr:to>
      <xdr:col>1</xdr:col>
      <xdr:colOff>520700</xdr:colOff>
      <xdr:row>3</xdr:row>
      <xdr:rowOff>112945</xdr:rowOff>
    </xdr:to>
    <xdr:pic>
      <xdr:nvPicPr>
        <xdr:cNvPr id="2" name="Resim 1">
          <a:extLst>
            <a:ext uri="{FF2B5EF4-FFF2-40B4-BE49-F238E27FC236}">
              <a16:creationId xmlns:a16="http://schemas.microsoft.com/office/drawing/2014/main" id="{92E6AE2D-31DA-AD4E-AB9B-C17481A4CE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50800"/>
          <a:ext cx="1346200" cy="671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zoomScale="214" zoomScaleNormal="214" zoomScaleSheetLayoutView="280" workbookViewId="0">
      <selection activeCell="B10" sqref="B10"/>
    </sheetView>
  </sheetViews>
  <sheetFormatPr defaultColWidth="27" defaultRowHeight="15.75" x14ac:dyDescent="0.25"/>
  <cols>
    <col min="1" max="1" width="23.5" style="1" customWidth="1"/>
    <col min="2" max="2" width="18.5" style="4" bestFit="1" customWidth="1"/>
    <col min="3" max="3" width="5.375" style="4" bestFit="1" customWidth="1"/>
    <col min="4" max="4" width="24.625" style="4" bestFit="1" customWidth="1"/>
    <col min="5" max="16384" width="27" style="1"/>
  </cols>
  <sheetData>
    <row r="1" spans="1:4" x14ac:dyDescent="0.25">
      <c r="A1" s="205" t="s">
        <v>56</v>
      </c>
      <c r="B1" s="206"/>
      <c r="C1" s="206"/>
      <c r="D1" s="206"/>
    </row>
    <row r="2" spans="1:4" x14ac:dyDescent="0.25">
      <c r="A2" s="207"/>
      <c r="B2" s="208"/>
      <c r="C2" s="208"/>
      <c r="D2" s="208"/>
    </row>
    <row r="3" spans="1:4" x14ac:dyDescent="0.25">
      <c r="A3" s="207"/>
      <c r="B3" s="208"/>
      <c r="C3" s="208"/>
      <c r="D3" s="208"/>
    </row>
    <row r="4" spans="1:4" ht="16.5" thickBot="1" x14ac:dyDescent="0.3">
      <c r="A4" s="209"/>
      <c r="B4" s="210"/>
      <c r="C4" s="210"/>
      <c r="D4" s="210"/>
    </row>
    <row r="5" spans="1:4" x14ac:dyDescent="0.25">
      <c r="A5" s="211"/>
      <c r="B5" s="211"/>
      <c r="C5" s="211"/>
      <c r="D5" s="211"/>
    </row>
    <row r="6" spans="1:4" x14ac:dyDescent="0.25">
      <c r="A6" s="202" t="s">
        <v>2</v>
      </c>
      <c r="B6" s="204" t="s">
        <v>6</v>
      </c>
      <c r="C6" s="204" t="s">
        <v>15</v>
      </c>
      <c r="D6" s="204" t="s">
        <v>18</v>
      </c>
    </row>
    <row r="7" spans="1:4" x14ac:dyDescent="0.25">
      <c r="A7" s="203"/>
      <c r="B7" s="204"/>
      <c r="C7" s="204"/>
      <c r="D7" s="204"/>
    </row>
    <row r="8" spans="1:4" s="2" customFormat="1" x14ac:dyDescent="0.25">
      <c r="A8" s="5" t="s">
        <v>14</v>
      </c>
      <c r="B8" s="101">
        <f>+elektrik!R23+elektrik!R28</f>
        <v>4495882</v>
      </c>
      <c r="C8" s="6" t="s">
        <v>16</v>
      </c>
      <c r="D8" s="9">
        <f>B8/B11</f>
        <v>0.31556852115768397</v>
      </c>
    </row>
    <row r="9" spans="1:4" s="2" customFormat="1" x14ac:dyDescent="0.25">
      <c r="A9" s="7" t="s">
        <v>24</v>
      </c>
      <c r="B9" s="101">
        <f>+doğalgaz!R23+doğalgaz!R24</f>
        <v>9751046</v>
      </c>
      <c r="C9" s="6" t="s">
        <v>16</v>
      </c>
      <c r="D9" s="9">
        <f>B9/B11</f>
        <v>0.68443147884231603</v>
      </c>
    </row>
    <row r="10" spans="1:4" s="2" customFormat="1" x14ac:dyDescent="0.25">
      <c r="A10" s="7" t="s">
        <v>26</v>
      </c>
      <c r="B10" s="19"/>
      <c r="C10" s="8" t="s">
        <v>16</v>
      </c>
      <c r="D10" s="9">
        <f>B10/B11</f>
        <v>0</v>
      </c>
    </row>
    <row r="11" spans="1:4" s="2" customFormat="1" ht="18.75" x14ac:dyDescent="0.25">
      <c r="A11" s="107" t="s">
        <v>25</v>
      </c>
      <c r="B11" s="199">
        <f>SUM(B8:B10)</f>
        <v>14246928</v>
      </c>
      <c r="C11" s="200"/>
      <c r="D11" s="201"/>
    </row>
    <row r="12" spans="1:4" customFormat="1" x14ac:dyDescent="0.25">
      <c r="B12" s="3"/>
      <c r="C12" s="3"/>
      <c r="D12" s="3"/>
    </row>
    <row r="13" spans="1:4" customFormat="1" x14ac:dyDescent="0.25">
      <c r="B13" s="3"/>
      <c r="C13" s="3"/>
      <c r="D13" s="3"/>
    </row>
  </sheetData>
  <autoFilter ref="A7:D8"/>
  <mergeCells count="7">
    <mergeCell ref="B11:D11"/>
    <mergeCell ref="A6:A7"/>
    <mergeCell ref="C6:C7"/>
    <mergeCell ref="D6:D7"/>
    <mergeCell ref="A1:D4"/>
    <mergeCell ref="A5:D5"/>
    <mergeCell ref="B6:B7"/>
  </mergeCells>
  <pageMargins left="0.75" right="0.75" top="1" bottom="1" header="0.5" footer="0.5"/>
  <pageSetup paperSize="9" scale="36" orientation="portrait" horizontalDpi="4294967292" verticalDpi="4294967292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tabSelected="1" topLeftCell="I1" zoomScaleNormal="100" zoomScaleSheetLayoutView="94" workbookViewId="0">
      <pane ySplit="8" topLeftCell="A57" activePane="bottomLeft" state="frozen"/>
      <selection pane="bottomLeft" activeCell="O63" sqref="O63:P63"/>
    </sheetView>
  </sheetViews>
  <sheetFormatPr defaultColWidth="10.875" defaultRowHeight="15.75" x14ac:dyDescent="0.25"/>
  <cols>
    <col min="1" max="1" width="9.625" style="176" customWidth="1"/>
    <col min="2" max="2" width="11" style="110" customWidth="1"/>
    <col min="3" max="3" width="29.5" style="110" customWidth="1"/>
    <col min="4" max="4" width="11" style="176" customWidth="1"/>
    <col min="5" max="5" width="11.5" style="176" customWidth="1"/>
    <col min="6" max="6" width="18.125" style="181" bestFit="1" customWidth="1"/>
    <col min="7" max="7" width="5.625" style="181" bestFit="1" customWidth="1"/>
    <col min="8" max="8" width="14.125" style="181" customWidth="1"/>
    <col min="9" max="9" width="14.5" style="181" customWidth="1"/>
    <col min="10" max="10" width="13.625" style="181" customWidth="1"/>
    <col min="11" max="11" width="17.875" style="182" customWidth="1"/>
    <col min="12" max="12" width="17.375" style="179" customWidth="1"/>
    <col min="13" max="13" width="11.875" style="180" bestFit="1" customWidth="1"/>
    <col min="14" max="14" width="28" style="180" customWidth="1"/>
    <col min="15" max="15" width="15.125" style="110" customWidth="1"/>
    <col min="16" max="16384" width="10.875" style="110"/>
  </cols>
  <sheetData>
    <row r="1" spans="1:16" ht="28.5" customHeight="1" x14ac:dyDescent="0.25">
      <c r="A1" s="212" t="s">
        <v>57</v>
      </c>
      <c r="B1" s="213"/>
      <c r="C1" s="213"/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4"/>
      <c r="O1" s="108" t="s">
        <v>19</v>
      </c>
      <c r="P1" s="109" t="s">
        <v>77</v>
      </c>
    </row>
    <row r="2" spans="1:16" ht="15.75" customHeight="1" x14ac:dyDescent="0.25">
      <c r="A2" s="215"/>
      <c r="B2" s="216"/>
      <c r="C2" s="216"/>
      <c r="D2" s="216"/>
      <c r="E2" s="216"/>
      <c r="F2" s="216"/>
      <c r="G2" s="216"/>
      <c r="H2" s="216"/>
      <c r="I2" s="216"/>
      <c r="J2" s="216"/>
      <c r="K2" s="216"/>
      <c r="L2" s="216"/>
      <c r="M2" s="216"/>
      <c r="N2" s="217"/>
      <c r="O2" s="111" t="s">
        <v>22</v>
      </c>
      <c r="P2" s="112">
        <v>45139</v>
      </c>
    </row>
    <row r="3" spans="1:16" ht="15.75" customHeight="1" x14ac:dyDescent="0.25">
      <c r="A3" s="215"/>
      <c r="B3" s="216"/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7"/>
      <c r="O3" s="111" t="s">
        <v>20</v>
      </c>
      <c r="P3" s="113">
        <v>0</v>
      </c>
    </row>
    <row r="4" spans="1:16" ht="16.5" customHeight="1" thickBot="1" x14ac:dyDescent="0.3">
      <c r="A4" s="218"/>
      <c r="B4" s="219"/>
      <c r="C4" s="219"/>
      <c r="D4" s="219"/>
      <c r="E4" s="219"/>
      <c r="F4" s="219"/>
      <c r="G4" s="219"/>
      <c r="H4" s="219"/>
      <c r="I4" s="219"/>
      <c r="J4" s="219"/>
      <c r="K4" s="219"/>
      <c r="L4" s="219"/>
      <c r="M4" s="219"/>
      <c r="N4" s="220"/>
      <c r="O4" s="114" t="s">
        <v>21</v>
      </c>
      <c r="P4" s="115" t="s">
        <v>23</v>
      </c>
    </row>
    <row r="5" spans="1:16" ht="6" customHeight="1" x14ac:dyDescent="0.25">
      <c r="A5" s="291"/>
      <c r="B5" s="291"/>
      <c r="C5" s="291"/>
      <c r="D5" s="291"/>
      <c r="E5" s="291"/>
      <c r="F5" s="291"/>
      <c r="G5" s="291"/>
      <c r="H5" s="291"/>
      <c r="I5" s="291"/>
      <c r="J5" s="291"/>
      <c r="K5" s="291"/>
      <c r="L5" s="291"/>
      <c r="M5" s="291"/>
      <c r="N5" s="291"/>
      <c r="O5" s="291"/>
    </row>
    <row r="6" spans="1:16" ht="15.75" customHeight="1" x14ac:dyDescent="0.25">
      <c r="A6" s="292" t="s">
        <v>9</v>
      </c>
      <c r="B6" s="295" t="s">
        <v>0</v>
      </c>
      <c r="C6" s="296"/>
      <c r="D6" s="293" t="s">
        <v>52</v>
      </c>
      <c r="E6" s="293" t="s">
        <v>2</v>
      </c>
      <c r="F6" s="288" t="s">
        <v>1</v>
      </c>
      <c r="G6" s="288"/>
      <c r="H6" s="288"/>
      <c r="I6" s="288"/>
      <c r="J6" s="288"/>
      <c r="K6" s="288"/>
      <c r="L6" s="288"/>
      <c r="M6" s="288"/>
      <c r="N6" s="288"/>
      <c r="O6" s="292" t="s">
        <v>5</v>
      </c>
      <c r="P6" s="292"/>
    </row>
    <row r="7" spans="1:16" ht="15.75" customHeight="1" x14ac:dyDescent="0.25">
      <c r="A7" s="292"/>
      <c r="B7" s="297"/>
      <c r="C7" s="298"/>
      <c r="D7" s="294"/>
      <c r="E7" s="294"/>
      <c r="F7" s="288" t="s">
        <v>6</v>
      </c>
      <c r="G7" s="286" t="s">
        <v>15</v>
      </c>
      <c r="H7" s="288" t="s">
        <v>7</v>
      </c>
      <c r="I7" s="288" t="s">
        <v>18</v>
      </c>
      <c r="J7" s="288" t="s">
        <v>17</v>
      </c>
      <c r="K7" s="289" t="s">
        <v>53</v>
      </c>
      <c r="L7" s="299" t="s">
        <v>8</v>
      </c>
      <c r="M7" s="300"/>
      <c r="N7" s="288" t="s">
        <v>3</v>
      </c>
      <c r="O7" s="292"/>
      <c r="P7" s="292"/>
    </row>
    <row r="8" spans="1:16" ht="48" customHeight="1" thickBot="1" x14ac:dyDescent="0.3">
      <c r="A8" s="293"/>
      <c r="B8" s="297"/>
      <c r="C8" s="298"/>
      <c r="D8" s="294"/>
      <c r="E8" s="294"/>
      <c r="F8" s="286"/>
      <c r="G8" s="287"/>
      <c r="H8" s="286"/>
      <c r="I8" s="286"/>
      <c r="J8" s="286"/>
      <c r="K8" s="290"/>
      <c r="L8" s="117" t="s">
        <v>54</v>
      </c>
      <c r="M8" s="116" t="s">
        <v>4</v>
      </c>
      <c r="N8" s="286"/>
      <c r="O8" s="293"/>
      <c r="P8" s="293"/>
    </row>
    <row r="9" spans="1:16" s="126" customFormat="1" ht="30" x14ac:dyDescent="0.25">
      <c r="A9" s="118">
        <v>1</v>
      </c>
      <c r="B9" s="233" t="s">
        <v>27</v>
      </c>
      <c r="C9" s="13" t="s">
        <v>28</v>
      </c>
      <c r="D9" s="17">
        <v>10750</v>
      </c>
      <c r="E9" s="183" t="s">
        <v>14</v>
      </c>
      <c r="F9" s="236">
        <f>+elektrik!Q5</f>
        <v>4138724</v>
      </c>
      <c r="G9" s="120" t="s">
        <v>16</v>
      </c>
      <c r="H9" s="121">
        <f>+elektrik!R5</f>
        <v>407686.93588439579</v>
      </c>
      <c r="I9" s="122">
        <f>+elektrik!S5</f>
        <v>9.0680079211241704</v>
      </c>
      <c r="J9" s="123" t="str">
        <f t="shared" ref="J9:J26" si="0">IF(I9&gt;20,"ÇOK YÜKSEK ",IF(I9&gt;10,"YÜKSEK",IF(I9&gt;5,"ORTA",IF(I9&gt;1,"DÜŞÜK","ÇOK AZ"))))</f>
        <v>ORTA</v>
      </c>
      <c r="K9" s="239"/>
      <c r="L9" s="121">
        <f>+K9/112481*D9</f>
        <v>0</v>
      </c>
      <c r="M9" s="125" t="e">
        <f>+(L9/K9*100)</f>
        <v>#DIV/0!</v>
      </c>
      <c r="N9" s="123" t="e">
        <f t="shared" ref="N9:N27" si="1">IF(M9&gt;21,"KABUL EDİLEMEZ RİSK ",IF(M9&gt;11,"DİKKATE DEĞER 
RİSK","KABUL EDİLEBİLİR RİSK"))</f>
        <v>#DIV/0!</v>
      </c>
      <c r="O9" s="258"/>
      <c r="P9" s="259"/>
    </row>
    <row r="10" spans="1:16" s="126" customFormat="1" ht="45" x14ac:dyDescent="0.25">
      <c r="A10" s="127">
        <v>2</v>
      </c>
      <c r="B10" s="234"/>
      <c r="C10" s="10" t="s">
        <v>29</v>
      </c>
      <c r="D10" s="15">
        <v>11800</v>
      </c>
      <c r="E10" s="184" t="s">
        <v>14</v>
      </c>
      <c r="F10" s="237"/>
      <c r="G10" s="129" t="s">
        <v>16</v>
      </c>
      <c r="H10" s="130">
        <f>+elektrik!R6</f>
        <v>447507.52031961584</v>
      </c>
      <c r="I10" s="131">
        <f>+elektrik!S6</f>
        <v>9.9537203227223454</v>
      </c>
      <c r="J10" s="132" t="str">
        <f t="shared" si="0"/>
        <v>ORTA</v>
      </c>
      <c r="K10" s="240"/>
      <c r="L10" s="130">
        <f>+K9/112481*D10</f>
        <v>0</v>
      </c>
      <c r="M10" s="133" t="e">
        <f>+(L10/K9*100)</f>
        <v>#DIV/0!</v>
      </c>
      <c r="N10" s="132" t="e">
        <f t="shared" si="1"/>
        <v>#DIV/0!</v>
      </c>
      <c r="O10" s="221"/>
      <c r="P10" s="222"/>
    </row>
    <row r="11" spans="1:16" s="126" customFormat="1" ht="30" x14ac:dyDescent="0.25">
      <c r="A11" s="127">
        <v>3</v>
      </c>
      <c r="B11" s="234"/>
      <c r="C11" s="10" t="s">
        <v>30</v>
      </c>
      <c r="D11" s="15">
        <v>17500</v>
      </c>
      <c r="E11" s="184" t="s">
        <v>14</v>
      </c>
      <c r="F11" s="237"/>
      <c r="G11" s="129" t="s">
        <v>16</v>
      </c>
      <c r="H11" s="130">
        <f>+elektrik!R7</f>
        <v>663676.4072536676</v>
      </c>
      <c r="I11" s="131">
        <f>+elektrik!S7</f>
        <v>14.761873359969583</v>
      </c>
      <c r="J11" s="132" t="str">
        <f t="shared" si="0"/>
        <v>YÜKSEK</v>
      </c>
      <c r="K11" s="240"/>
      <c r="L11" s="130">
        <f>+K9/112481*D11</f>
        <v>0</v>
      </c>
      <c r="M11" s="133" t="e">
        <f>+(L11/K9*100)</f>
        <v>#DIV/0!</v>
      </c>
      <c r="N11" s="132" t="e">
        <f t="shared" si="1"/>
        <v>#DIV/0!</v>
      </c>
      <c r="O11" s="221"/>
      <c r="P11" s="222"/>
    </row>
    <row r="12" spans="1:16" s="126" customFormat="1" ht="45" x14ac:dyDescent="0.25">
      <c r="A12" s="127">
        <v>4</v>
      </c>
      <c r="B12" s="234"/>
      <c r="C12" s="10" t="s">
        <v>31</v>
      </c>
      <c r="D12" s="15">
        <v>11450</v>
      </c>
      <c r="E12" s="184" t="s">
        <v>14</v>
      </c>
      <c r="F12" s="237"/>
      <c r="G12" s="129" t="s">
        <v>16</v>
      </c>
      <c r="H12" s="130">
        <f>+elektrik!R8</f>
        <v>434233.99217454251</v>
      </c>
      <c r="I12" s="131">
        <f>+elektrik!S8</f>
        <v>9.6584828555229549</v>
      </c>
      <c r="J12" s="132" t="str">
        <f t="shared" si="0"/>
        <v>ORTA</v>
      </c>
      <c r="K12" s="240"/>
      <c r="L12" s="130">
        <f>+K9/112481*D12</f>
        <v>0</v>
      </c>
      <c r="M12" s="133" t="e">
        <f>+(L12/K9*100)</f>
        <v>#DIV/0!</v>
      </c>
      <c r="N12" s="132" t="e">
        <f t="shared" si="1"/>
        <v>#DIV/0!</v>
      </c>
      <c r="O12" s="221"/>
      <c r="P12" s="222"/>
    </row>
    <row r="13" spans="1:16" s="126" customFormat="1" x14ac:dyDescent="0.25">
      <c r="A13" s="127">
        <v>5</v>
      </c>
      <c r="B13" s="234"/>
      <c r="C13" s="11" t="s">
        <v>32</v>
      </c>
      <c r="D13" s="15">
        <v>4200</v>
      </c>
      <c r="E13" s="184" t="s">
        <v>14</v>
      </c>
      <c r="F13" s="237"/>
      <c r="G13" s="129" t="s">
        <v>16</v>
      </c>
      <c r="H13" s="130">
        <f>+elektrik!R9</f>
        <v>159282.3377408802</v>
      </c>
      <c r="I13" s="131">
        <f>+elektrik!S9</f>
        <v>3.5428496063926991</v>
      </c>
      <c r="J13" s="132" t="str">
        <f t="shared" si="0"/>
        <v>DÜŞÜK</v>
      </c>
      <c r="K13" s="240"/>
      <c r="L13" s="130">
        <f>+K9/112481*D13</f>
        <v>0</v>
      </c>
      <c r="M13" s="133" t="e">
        <f>+(L13/K9*100)</f>
        <v>#DIV/0!</v>
      </c>
      <c r="N13" s="132" t="e">
        <f t="shared" si="1"/>
        <v>#DIV/0!</v>
      </c>
      <c r="O13" s="221"/>
      <c r="P13" s="222"/>
    </row>
    <row r="14" spans="1:16" s="126" customFormat="1" x14ac:dyDescent="0.25">
      <c r="A14" s="127">
        <v>6</v>
      </c>
      <c r="B14" s="234"/>
      <c r="C14" s="11" t="s">
        <v>33</v>
      </c>
      <c r="D14" s="15">
        <v>3480</v>
      </c>
      <c r="E14" s="184" t="s">
        <v>14</v>
      </c>
      <c r="F14" s="237"/>
      <c r="G14" s="129" t="s">
        <v>16</v>
      </c>
      <c r="H14" s="130">
        <f>+elektrik!R10</f>
        <v>131976.7941281579</v>
      </c>
      <c r="I14" s="131">
        <f>+elektrik!S10</f>
        <v>2.9355039595825221</v>
      </c>
      <c r="J14" s="132" t="str">
        <f t="shared" si="0"/>
        <v>DÜŞÜK</v>
      </c>
      <c r="K14" s="240"/>
      <c r="L14" s="130">
        <f>+K9/112481*D14</f>
        <v>0</v>
      </c>
      <c r="M14" s="133" t="e">
        <f>+(L14/K9*100)</f>
        <v>#DIV/0!</v>
      </c>
      <c r="N14" s="132" t="e">
        <f t="shared" si="1"/>
        <v>#DIV/0!</v>
      </c>
      <c r="O14" s="221"/>
      <c r="P14" s="222"/>
    </row>
    <row r="15" spans="1:16" s="126" customFormat="1" x14ac:dyDescent="0.25">
      <c r="A15" s="127">
        <v>7</v>
      </c>
      <c r="B15" s="234"/>
      <c r="C15" s="11" t="s">
        <v>34</v>
      </c>
      <c r="D15" s="16">
        <v>720</v>
      </c>
      <c r="E15" s="184" t="s">
        <v>14</v>
      </c>
      <c r="F15" s="237"/>
      <c r="G15" s="129" t="s">
        <v>16</v>
      </c>
      <c r="H15" s="130">
        <f>+elektrik!R11</f>
        <v>27305.543612722322</v>
      </c>
      <c r="I15" s="131">
        <f>+elektrik!S11</f>
        <v>0.607345646810177</v>
      </c>
      <c r="J15" s="132" t="str">
        <f t="shared" si="0"/>
        <v>ÇOK AZ</v>
      </c>
      <c r="K15" s="240"/>
      <c r="L15" s="130">
        <f>+K9/112481*D15</f>
        <v>0</v>
      </c>
      <c r="M15" s="133" t="e">
        <f>+(L15/K9*100)</f>
        <v>#DIV/0!</v>
      </c>
      <c r="N15" s="132" t="e">
        <f t="shared" si="1"/>
        <v>#DIV/0!</v>
      </c>
      <c r="O15" s="221"/>
      <c r="P15" s="222"/>
    </row>
    <row r="16" spans="1:16" s="126" customFormat="1" x14ac:dyDescent="0.25">
      <c r="A16" s="127">
        <v>8</v>
      </c>
      <c r="B16" s="234"/>
      <c r="C16" s="11" t="s">
        <v>35</v>
      </c>
      <c r="D16" s="16"/>
      <c r="E16" s="184" t="s">
        <v>14</v>
      </c>
      <c r="F16" s="237"/>
      <c r="G16" s="129" t="s">
        <v>16</v>
      </c>
      <c r="H16" s="130">
        <f>+elektrik!R12</f>
        <v>0</v>
      </c>
      <c r="I16" s="131">
        <f>+elektrik!S12</f>
        <v>0</v>
      </c>
      <c r="J16" s="132" t="str">
        <f t="shared" si="0"/>
        <v>ÇOK AZ</v>
      </c>
      <c r="K16" s="240"/>
      <c r="L16" s="130">
        <f>+K9/112481*D16</f>
        <v>0</v>
      </c>
      <c r="M16" s="133" t="e">
        <f>+(L16/K9*100)</f>
        <v>#DIV/0!</v>
      </c>
      <c r="N16" s="132" t="e">
        <f t="shared" si="1"/>
        <v>#DIV/0!</v>
      </c>
      <c r="O16" s="221"/>
      <c r="P16" s="222"/>
    </row>
    <row r="17" spans="1:16" s="126" customFormat="1" ht="30" x14ac:dyDescent="0.25">
      <c r="A17" s="127">
        <v>9</v>
      </c>
      <c r="B17" s="234"/>
      <c r="C17" s="10" t="s">
        <v>36</v>
      </c>
      <c r="D17" s="15">
        <v>11250</v>
      </c>
      <c r="E17" s="184" t="s">
        <v>14</v>
      </c>
      <c r="F17" s="237"/>
      <c r="G17" s="129" t="s">
        <v>16</v>
      </c>
      <c r="H17" s="130">
        <f>+elektrik!R13</f>
        <v>426649.11894878629</v>
      </c>
      <c r="I17" s="131">
        <f>+elektrik!S13</f>
        <v>9.489775731409015</v>
      </c>
      <c r="J17" s="132" t="str">
        <f t="shared" si="0"/>
        <v>ORTA</v>
      </c>
      <c r="K17" s="240"/>
      <c r="L17" s="130">
        <f>+K9/112481*D17</f>
        <v>0</v>
      </c>
      <c r="M17" s="133" t="e">
        <f>+(L17/K9*100)</f>
        <v>#DIV/0!</v>
      </c>
      <c r="N17" s="132" t="e">
        <f t="shared" si="1"/>
        <v>#DIV/0!</v>
      </c>
      <c r="O17" s="221"/>
      <c r="P17" s="222"/>
    </row>
    <row r="18" spans="1:16" s="126" customFormat="1" ht="30" x14ac:dyDescent="0.25">
      <c r="A18" s="127">
        <v>10</v>
      </c>
      <c r="B18" s="234"/>
      <c r="C18" s="10" t="s">
        <v>37</v>
      </c>
      <c r="D18" s="15"/>
      <c r="E18" s="184" t="s">
        <v>14</v>
      </c>
      <c r="F18" s="237"/>
      <c r="G18" s="129" t="s">
        <v>16</v>
      </c>
      <c r="H18" s="130">
        <f>+elektrik!R14</f>
        <v>0</v>
      </c>
      <c r="I18" s="131">
        <f>+elektrik!S14</f>
        <v>0</v>
      </c>
      <c r="J18" s="132" t="str">
        <f t="shared" si="0"/>
        <v>ÇOK AZ</v>
      </c>
      <c r="K18" s="240"/>
      <c r="L18" s="130">
        <f>+K9/112481*D18</f>
        <v>0</v>
      </c>
      <c r="M18" s="133" t="e">
        <f>+(L18/K9*100)</f>
        <v>#DIV/0!</v>
      </c>
      <c r="N18" s="132" t="e">
        <f t="shared" si="1"/>
        <v>#DIV/0!</v>
      </c>
      <c r="O18" s="221"/>
      <c r="P18" s="222"/>
    </row>
    <row r="19" spans="1:16" s="126" customFormat="1" ht="30" x14ac:dyDescent="0.25">
      <c r="A19" s="127">
        <v>11</v>
      </c>
      <c r="B19" s="234"/>
      <c r="C19" s="10" t="s">
        <v>38</v>
      </c>
      <c r="D19" s="15">
        <v>7700</v>
      </c>
      <c r="E19" s="184" t="s">
        <v>14</v>
      </c>
      <c r="F19" s="237"/>
      <c r="G19" s="129" t="s">
        <v>16</v>
      </c>
      <c r="H19" s="130">
        <f>+elektrik!R15</f>
        <v>292017.61919161375</v>
      </c>
      <c r="I19" s="131">
        <f>+elektrik!S15</f>
        <v>6.4952242783866163</v>
      </c>
      <c r="J19" s="132" t="str">
        <f t="shared" si="0"/>
        <v>ORTA</v>
      </c>
      <c r="K19" s="240"/>
      <c r="L19" s="130">
        <f>+K9/112481*D19</f>
        <v>0</v>
      </c>
      <c r="M19" s="133" t="e">
        <f>+(L19/K9*100)</f>
        <v>#DIV/0!</v>
      </c>
      <c r="N19" s="132" t="e">
        <f t="shared" si="1"/>
        <v>#DIV/0!</v>
      </c>
      <c r="O19" s="221"/>
      <c r="P19" s="222"/>
    </row>
    <row r="20" spans="1:16" s="126" customFormat="1" x14ac:dyDescent="0.25">
      <c r="A20" s="127">
        <v>12</v>
      </c>
      <c r="B20" s="234"/>
      <c r="C20" s="10" t="s">
        <v>39</v>
      </c>
      <c r="D20" s="15">
        <v>3480</v>
      </c>
      <c r="E20" s="184" t="s">
        <v>14</v>
      </c>
      <c r="F20" s="237"/>
      <c r="G20" s="129" t="s">
        <v>16</v>
      </c>
      <c r="H20" s="130">
        <f>+elektrik!R16</f>
        <v>131976.7941281579</v>
      </c>
      <c r="I20" s="131">
        <f>+elektrik!S16</f>
        <v>2.9355039595825221</v>
      </c>
      <c r="J20" s="132" t="str">
        <f t="shared" si="0"/>
        <v>DÜŞÜK</v>
      </c>
      <c r="K20" s="240"/>
      <c r="L20" s="130">
        <f>+K9/112481*D20</f>
        <v>0</v>
      </c>
      <c r="M20" s="133" t="e">
        <f>+(L20/K9*100)</f>
        <v>#DIV/0!</v>
      </c>
      <c r="N20" s="132" t="e">
        <f t="shared" si="1"/>
        <v>#DIV/0!</v>
      </c>
      <c r="O20" s="221"/>
      <c r="P20" s="222"/>
    </row>
    <row r="21" spans="1:16" s="126" customFormat="1" x14ac:dyDescent="0.25">
      <c r="A21" s="127">
        <v>13</v>
      </c>
      <c r="B21" s="234"/>
      <c r="C21" s="11" t="s">
        <v>40</v>
      </c>
      <c r="D21" s="16">
        <v>1207</v>
      </c>
      <c r="E21" s="184" t="s">
        <v>14</v>
      </c>
      <c r="F21" s="237"/>
      <c r="G21" s="129" t="s">
        <v>16</v>
      </c>
      <c r="H21" s="130">
        <f>+elektrik!R17</f>
        <v>45774.709917438668</v>
      </c>
      <c r="I21" s="131">
        <f>+elektrik!S17</f>
        <v>1.0181474940276163</v>
      </c>
      <c r="J21" s="132" t="str">
        <f t="shared" si="0"/>
        <v>DÜŞÜK</v>
      </c>
      <c r="K21" s="240"/>
      <c r="L21" s="130">
        <f>+K9/112481*D21</f>
        <v>0</v>
      </c>
      <c r="M21" s="133" t="e">
        <f>+(L21/K9*100)</f>
        <v>#DIV/0!</v>
      </c>
      <c r="N21" s="132" t="e">
        <f t="shared" si="1"/>
        <v>#DIV/0!</v>
      </c>
      <c r="O21" s="221"/>
      <c r="P21" s="222"/>
    </row>
    <row r="22" spans="1:16" s="126" customFormat="1" x14ac:dyDescent="0.25">
      <c r="A22" s="127">
        <v>14</v>
      </c>
      <c r="B22" s="234"/>
      <c r="C22" s="11" t="s">
        <v>41</v>
      </c>
      <c r="D22" s="16">
        <v>214</v>
      </c>
      <c r="E22" s="184" t="s">
        <v>14</v>
      </c>
      <c r="F22" s="237"/>
      <c r="G22" s="129" t="s">
        <v>16</v>
      </c>
      <c r="H22" s="130">
        <f>+elektrik!R18</f>
        <v>8115.8143515591346</v>
      </c>
      <c r="I22" s="131">
        <f>+elektrik!S18</f>
        <v>0.18051662280191372</v>
      </c>
      <c r="J22" s="132" t="str">
        <f t="shared" si="0"/>
        <v>ÇOK AZ</v>
      </c>
      <c r="K22" s="240"/>
      <c r="L22" s="130">
        <f>+K9/112481*D22</f>
        <v>0</v>
      </c>
      <c r="M22" s="133" t="e">
        <f>+(L22/K9*100)</f>
        <v>#DIV/0!</v>
      </c>
      <c r="N22" s="132" t="e">
        <f t="shared" si="1"/>
        <v>#DIV/0!</v>
      </c>
      <c r="O22" s="221"/>
      <c r="P22" s="222"/>
    </row>
    <row r="23" spans="1:16" s="126" customFormat="1" x14ac:dyDescent="0.25">
      <c r="A23" s="127">
        <v>15</v>
      </c>
      <c r="B23" s="234"/>
      <c r="C23" s="10" t="s">
        <v>42</v>
      </c>
      <c r="D23" s="15">
        <v>12000</v>
      </c>
      <c r="E23" s="184" t="s">
        <v>14</v>
      </c>
      <c r="F23" s="237"/>
      <c r="G23" s="129" t="s">
        <v>16</v>
      </c>
      <c r="H23" s="130">
        <f>+elektrik!R19</f>
        <v>455092.39354537206</v>
      </c>
      <c r="I23" s="131">
        <f>+elektrik!S19</f>
        <v>10.122427446836284</v>
      </c>
      <c r="J23" s="132" t="str">
        <f t="shared" si="0"/>
        <v>YÜKSEK</v>
      </c>
      <c r="K23" s="240"/>
      <c r="L23" s="130">
        <f>+K9/112481*D23</f>
        <v>0</v>
      </c>
      <c r="M23" s="133" t="e">
        <f>+(L23/K9*100)</f>
        <v>#DIV/0!</v>
      </c>
      <c r="N23" s="132" t="e">
        <f t="shared" si="1"/>
        <v>#DIV/0!</v>
      </c>
      <c r="O23" s="221"/>
      <c r="P23" s="222"/>
    </row>
    <row r="24" spans="1:16" s="126" customFormat="1" x14ac:dyDescent="0.25">
      <c r="A24" s="127">
        <v>16</v>
      </c>
      <c r="B24" s="234"/>
      <c r="C24" s="10" t="s">
        <v>43</v>
      </c>
      <c r="D24" s="15">
        <v>3400</v>
      </c>
      <c r="E24" s="184" t="s">
        <v>14</v>
      </c>
      <c r="F24" s="237"/>
      <c r="G24" s="129" t="s">
        <v>16</v>
      </c>
      <c r="H24" s="130">
        <f>+elektrik!R20</f>
        <v>128942.8448378554</v>
      </c>
      <c r="I24" s="131">
        <f>+elektrik!S20</f>
        <v>2.8680211099369468</v>
      </c>
      <c r="J24" s="132" t="str">
        <f t="shared" si="0"/>
        <v>DÜŞÜK</v>
      </c>
      <c r="K24" s="240"/>
      <c r="L24" s="130">
        <f>+K9/112481*D24</f>
        <v>0</v>
      </c>
      <c r="M24" s="133" t="e">
        <f>+(L24/K9*100)</f>
        <v>#DIV/0!</v>
      </c>
      <c r="N24" s="132" t="e">
        <f t="shared" si="1"/>
        <v>#DIV/0!</v>
      </c>
      <c r="O24" s="221"/>
      <c r="P24" s="222"/>
    </row>
    <row r="25" spans="1:16" s="126" customFormat="1" ht="15.95" customHeight="1" x14ac:dyDescent="0.25">
      <c r="A25" s="127">
        <v>17</v>
      </c>
      <c r="B25" s="234"/>
      <c r="C25" s="10" t="s">
        <v>44</v>
      </c>
      <c r="D25" s="15">
        <v>3480</v>
      </c>
      <c r="E25" s="184" t="s">
        <v>14</v>
      </c>
      <c r="F25" s="237"/>
      <c r="G25" s="129" t="s">
        <v>16</v>
      </c>
      <c r="H25" s="130">
        <f>+elektrik!R21</f>
        <v>131976.7941281579</v>
      </c>
      <c r="I25" s="131">
        <f>+elektrik!S21</f>
        <v>2.9355039595825221</v>
      </c>
      <c r="J25" s="132" t="str">
        <f t="shared" si="0"/>
        <v>DÜŞÜK</v>
      </c>
      <c r="K25" s="240"/>
      <c r="L25" s="130">
        <f>+K9/112481*D25</f>
        <v>0</v>
      </c>
      <c r="M25" s="133" t="e">
        <f>+(L25/K9*100)</f>
        <v>#DIV/0!</v>
      </c>
      <c r="N25" s="132" t="e">
        <f t="shared" si="1"/>
        <v>#DIV/0!</v>
      </c>
      <c r="O25" s="221"/>
      <c r="P25" s="222"/>
    </row>
    <row r="26" spans="1:16" s="126" customFormat="1" ht="16.5" thickBot="1" x14ac:dyDescent="0.3">
      <c r="A26" s="134">
        <v>18</v>
      </c>
      <c r="B26" s="253"/>
      <c r="C26" s="14" t="s">
        <v>45</v>
      </c>
      <c r="D26" s="18">
        <v>6500</v>
      </c>
      <c r="E26" s="185" t="s">
        <v>14</v>
      </c>
      <c r="F26" s="245"/>
      <c r="G26" s="135" t="s">
        <v>16</v>
      </c>
      <c r="H26" s="136">
        <f>+elektrik!R22</f>
        <v>246508.37983707653</v>
      </c>
      <c r="I26" s="137">
        <f>+elektrik!S22</f>
        <v>5.4829815337029872</v>
      </c>
      <c r="J26" s="138" t="str">
        <f t="shared" si="0"/>
        <v>ORTA</v>
      </c>
      <c r="K26" s="241"/>
      <c r="L26" s="136">
        <f>+K9/112481*D26</f>
        <v>0</v>
      </c>
      <c r="M26" s="140" t="e">
        <f>+(L26/K9*100)</f>
        <v>#DIV/0!</v>
      </c>
      <c r="N26" s="138" t="e">
        <f t="shared" si="1"/>
        <v>#DIV/0!</v>
      </c>
      <c r="O26" s="268"/>
      <c r="P26" s="269"/>
    </row>
    <row r="27" spans="1:16" s="126" customFormat="1" x14ac:dyDescent="0.25">
      <c r="A27" s="141">
        <v>19</v>
      </c>
      <c r="B27" s="254" t="s">
        <v>46</v>
      </c>
      <c r="C27" s="30" t="s">
        <v>47</v>
      </c>
      <c r="D27" s="255">
        <v>3350</v>
      </c>
      <c r="E27" s="186" t="s">
        <v>14</v>
      </c>
      <c r="F27" s="242">
        <f>+elektrik!Q28</f>
        <v>357158</v>
      </c>
      <c r="G27" s="142" t="s">
        <v>16</v>
      </c>
      <c r="H27" s="143">
        <f>+elektrik!R24</f>
        <v>40433</v>
      </c>
      <c r="I27" s="144">
        <f>+elektrik!S24</f>
        <v>0.89933410174021478</v>
      </c>
      <c r="J27" s="145" t="str">
        <f t="shared" ref="J27:J49" si="2">IF(I27&gt;20,"ÇOK YÜKSEK ",IF(I27&gt;10,"YÜKSEK",IF(I27&gt;5,"ORTA",IF(I27&gt;1,"DÜŞÜK","ÇOK AZ"))))</f>
        <v>ÇOK AZ</v>
      </c>
      <c r="K27" s="243"/>
      <c r="L27" s="242">
        <f>+K27/112481*D27</f>
        <v>0</v>
      </c>
      <c r="M27" s="225" t="e">
        <f>+(L27/K27*100)</f>
        <v>#DIV/0!</v>
      </c>
      <c r="N27" s="228" t="e">
        <f t="shared" si="1"/>
        <v>#DIV/0!</v>
      </c>
      <c r="O27" s="231"/>
      <c r="P27" s="232"/>
    </row>
    <row r="28" spans="1:16" s="126" customFormat="1" x14ac:dyDescent="0.25">
      <c r="A28" s="127">
        <v>20</v>
      </c>
      <c r="B28" s="234"/>
      <c r="C28" s="10" t="s">
        <v>48</v>
      </c>
      <c r="D28" s="256"/>
      <c r="E28" s="184" t="s">
        <v>14</v>
      </c>
      <c r="F28" s="237"/>
      <c r="G28" s="129" t="s">
        <v>16</v>
      </c>
      <c r="H28" s="130">
        <f>+elektrik!R25</f>
        <v>2357</v>
      </c>
      <c r="I28" s="131">
        <f>+elektrik!S25</f>
        <v>5.242575316700928E-2</v>
      </c>
      <c r="J28" s="132" t="str">
        <f t="shared" si="2"/>
        <v>ÇOK AZ</v>
      </c>
      <c r="K28" s="240"/>
      <c r="L28" s="237"/>
      <c r="M28" s="226"/>
      <c r="N28" s="229"/>
      <c r="O28" s="221"/>
      <c r="P28" s="222"/>
    </row>
    <row r="29" spans="1:16" s="126" customFormat="1" x14ac:dyDescent="0.25">
      <c r="A29" s="127">
        <v>21</v>
      </c>
      <c r="B29" s="234"/>
      <c r="C29" s="10" t="s">
        <v>49</v>
      </c>
      <c r="D29" s="256"/>
      <c r="E29" s="184" t="s">
        <v>14</v>
      </c>
      <c r="F29" s="237"/>
      <c r="G29" s="129" t="s">
        <v>16</v>
      </c>
      <c r="H29" s="130">
        <f>+elektrik!R26</f>
        <v>180519</v>
      </c>
      <c r="I29" s="131">
        <f>+elektrik!S26</f>
        <v>4.0152076945079971</v>
      </c>
      <c r="J29" s="132" t="str">
        <f t="shared" si="2"/>
        <v>DÜŞÜK</v>
      </c>
      <c r="K29" s="240"/>
      <c r="L29" s="237"/>
      <c r="M29" s="226"/>
      <c r="N29" s="229"/>
      <c r="O29" s="221"/>
      <c r="P29" s="222"/>
    </row>
    <row r="30" spans="1:16" s="126" customFormat="1" ht="16.5" thickBot="1" x14ac:dyDescent="0.3">
      <c r="A30" s="146">
        <v>22</v>
      </c>
      <c r="B30" s="235"/>
      <c r="C30" s="41" t="s">
        <v>50</v>
      </c>
      <c r="D30" s="257"/>
      <c r="E30" s="187" t="s">
        <v>14</v>
      </c>
      <c r="F30" s="238"/>
      <c r="G30" s="148" t="s">
        <v>16</v>
      </c>
      <c r="H30" s="149">
        <f>+elektrik!R27</f>
        <v>133849</v>
      </c>
      <c r="I30" s="150">
        <f>+elektrik!S27</f>
        <v>2.977146642193901</v>
      </c>
      <c r="J30" s="151" t="str">
        <f t="shared" si="2"/>
        <v>DÜŞÜK</v>
      </c>
      <c r="K30" s="244"/>
      <c r="L30" s="238"/>
      <c r="M30" s="227"/>
      <c r="N30" s="230"/>
      <c r="O30" s="223"/>
      <c r="P30" s="224"/>
    </row>
    <row r="31" spans="1:16" s="126" customFormat="1" ht="30" x14ac:dyDescent="0.25">
      <c r="A31" s="118">
        <v>1</v>
      </c>
      <c r="B31" s="233" t="s">
        <v>27</v>
      </c>
      <c r="C31" s="13" t="s">
        <v>28</v>
      </c>
      <c r="D31" s="20">
        <v>10750</v>
      </c>
      <c r="E31" s="183" t="s">
        <v>24</v>
      </c>
      <c r="F31" s="236">
        <f>+doğalgaz!Q23</f>
        <v>9578483</v>
      </c>
      <c r="G31" s="120" t="s">
        <v>16</v>
      </c>
      <c r="H31" s="119">
        <f>+doğalgaz!R5</f>
        <v>350551.19225967542</v>
      </c>
      <c r="I31" s="122">
        <f>+doğalgaz!S5</f>
        <v>3.5950111635169741</v>
      </c>
      <c r="J31" s="123" t="str">
        <f t="shared" si="2"/>
        <v>DÜŞÜK</v>
      </c>
      <c r="K31" s="250"/>
      <c r="L31" s="121">
        <f>+K31/112481*D31</f>
        <v>0</v>
      </c>
      <c r="M31" s="125" t="e">
        <f>+(L31/K31*100)</f>
        <v>#DIV/0!</v>
      </c>
      <c r="N31" s="123" t="e">
        <f t="shared" ref="N31:N49" si="3">IF(M31&gt;21,"KABUL EDİLEMEZ RİSK ",IF(M31&gt;11,"DİKKATE DEĞER 
RİSK","KABUL EDİLEBİLİR RİSK"))</f>
        <v>#DIV/0!</v>
      </c>
      <c r="O31" s="258"/>
      <c r="P31" s="259"/>
    </row>
    <row r="32" spans="1:16" s="126" customFormat="1" ht="45" x14ac:dyDescent="0.25">
      <c r="A32" s="127">
        <v>2</v>
      </c>
      <c r="B32" s="234"/>
      <c r="C32" s="10" t="s">
        <v>29</v>
      </c>
      <c r="D32" s="21">
        <v>11800</v>
      </c>
      <c r="E32" s="184" t="s">
        <v>24</v>
      </c>
      <c r="F32" s="237"/>
      <c r="G32" s="129" t="s">
        <v>16</v>
      </c>
      <c r="H32" s="128">
        <f>+doğalgaz!R6</f>
        <v>384791.07615480648</v>
      </c>
      <c r="I32" s="131">
        <f>+doğalgaz!S6</f>
        <v>3.9461517887907256</v>
      </c>
      <c r="J32" s="132" t="str">
        <f t="shared" si="2"/>
        <v>DÜŞÜK</v>
      </c>
      <c r="K32" s="251"/>
      <c r="L32" s="130">
        <f>+K31/112481*D32</f>
        <v>0</v>
      </c>
      <c r="M32" s="133" t="e">
        <f>+(L32/K31*100)</f>
        <v>#DIV/0!</v>
      </c>
      <c r="N32" s="132" t="e">
        <f t="shared" si="3"/>
        <v>#DIV/0!</v>
      </c>
      <c r="O32" s="221"/>
      <c r="P32" s="222"/>
    </row>
    <row r="33" spans="1:16" s="126" customFormat="1" ht="30" x14ac:dyDescent="0.25">
      <c r="A33" s="127">
        <v>3</v>
      </c>
      <c r="B33" s="234"/>
      <c r="C33" s="10" t="s">
        <v>30</v>
      </c>
      <c r="D33" s="21">
        <v>17500</v>
      </c>
      <c r="E33" s="184" t="s">
        <v>24</v>
      </c>
      <c r="F33" s="237"/>
      <c r="G33" s="129" t="s">
        <v>16</v>
      </c>
      <c r="H33" s="128">
        <f>+doğalgaz!R7</f>
        <v>570664.73158551811</v>
      </c>
      <c r="I33" s="131">
        <f>+doğalgaz!S7</f>
        <v>5.8523437545625168</v>
      </c>
      <c r="J33" s="132" t="str">
        <f t="shared" si="2"/>
        <v>ORTA</v>
      </c>
      <c r="K33" s="251"/>
      <c r="L33" s="130">
        <f>+K31/112481*D33</f>
        <v>0</v>
      </c>
      <c r="M33" s="133" t="e">
        <f>+(L33/K31*100)</f>
        <v>#DIV/0!</v>
      </c>
      <c r="N33" s="132" t="e">
        <f t="shared" si="3"/>
        <v>#DIV/0!</v>
      </c>
      <c r="O33" s="221"/>
      <c r="P33" s="222"/>
    </row>
    <row r="34" spans="1:16" s="126" customFormat="1" ht="45" x14ac:dyDescent="0.25">
      <c r="A34" s="127">
        <v>4</v>
      </c>
      <c r="B34" s="234"/>
      <c r="C34" s="10" t="s">
        <v>31</v>
      </c>
      <c r="D34" s="15">
        <v>11450</v>
      </c>
      <c r="E34" s="184" t="s">
        <v>24</v>
      </c>
      <c r="F34" s="237"/>
      <c r="G34" s="129" t="s">
        <v>16</v>
      </c>
      <c r="H34" s="128">
        <f>+doğalgaz!R8</f>
        <v>487402.49869315216</v>
      </c>
      <c r="I34" s="131">
        <f>+doğalgaz!S8</f>
        <v>4.9984637411530226</v>
      </c>
      <c r="J34" s="132" t="str">
        <f t="shared" si="2"/>
        <v>DÜŞÜK</v>
      </c>
      <c r="K34" s="251"/>
      <c r="L34" s="130">
        <f>+K31/112481*D34</f>
        <v>0</v>
      </c>
      <c r="M34" s="133" t="e">
        <f>+(L34/K31*100)</f>
        <v>#DIV/0!</v>
      </c>
      <c r="N34" s="132" t="e">
        <f t="shared" si="3"/>
        <v>#DIV/0!</v>
      </c>
      <c r="O34" s="221"/>
      <c r="P34" s="222"/>
    </row>
    <row r="35" spans="1:16" s="126" customFormat="1" x14ac:dyDescent="0.25">
      <c r="A35" s="127">
        <v>5</v>
      </c>
      <c r="B35" s="234"/>
      <c r="C35" s="11" t="s">
        <v>32</v>
      </c>
      <c r="D35" s="15">
        <v>4200</v>
      </c>
      <c r="E35" s="184" t="s">
        <v>24</v>
      </c>
      <c r="F35" s="237"/>
      <c r="G35" s="129" t="s">
        <v>16</v>
      </c>
      <c r="H35" s="128">
        <f>+doğalgaz!R9</f>
        <v>178785.19602718245</v>
      </c>
      <c r="I35" s="131">
        <f>+doğalgaz!S9</f>
        <v>1.8334976168421568</v>
      </c>
      <c r="J35" s="132" t="str">
        <f t="shared" si="2"/>
        <v>DÜŞÜK</v>
      </c>
      <c r="K35" s="251"/>
      <c r="L35" s="130">
        <f>+K31/112481*D35</f>
        <v>0</v>
      </c>
      <c r="M35" s="133" t="e">
        <f>+(L35/K31*100)</f>
        <v>#DIV/0!</v>
      </c>
      <c r="N35" s="132" t="e">
        <f t="shared" si="3"/>
        <v>#DIV/0!</v>
      </c>
      <c r="O35" s="221"/>
      <c r="P35" s="222"/>
    </row>
    <row r="36" spans="1:16" s="126" customFormat="1" x14ac:dyDescent="0.25">
      <c r="A36" s="127">
        <v>6</v>
      </c>
      <c r="B36" s="234"/>
      <c r="C36" s="11" t="s">
        <v>33</v>
      </c>
      <c r="D36" s="15">
        <v>3480</v>
      </c>
      <c r="E36" s="184" t="s">
        <v>24</v>
      </c>
      <c r="F36" s="237"/>
      <c r="G36" s="129" t="s">
        <v>16</v>
      </c>
      <c r="H36" s="128">
        <f>+doğalgaz!R10</f>
        <v>148136.30527966545</v>
      </c>
      <c r="I36" s="131">
        <f>+doğalgaz!S10</f>
        <v>1.5191837396692154</v>
      </c>
      <c r="J36" s="132" t="str">
        <f t="shared" si="2"/>
        <v>DÜŞÜK</v>
      </c>
      <c r="K36" s="251"/>
      <c r="L36" s="130">
        <f>+K31/112481*D36</f>
        <v>0</v>
      </c>
      <c r="M36" s="133" t="e">
        <f>+(L36/K31*100)</f>
        <v>#DIV/0!</v>
      </c>
      <c r="N36" s="132" t="e">
        <f t="shared" si="3"/>
        <v>#DIV/0!</v>
      </c>
      <c r="O36" s="221"/>
      <c r="P36" s="222"/>
    </row>
    <row r="37" spans="1:16" s="126" customFormat="1" x14ac:dyDescent="0.25">
      <c r="A37" s="127">
        <v>7</v>
      </c>
      <c r="B37" s="234"/>
      <c r="C37" s="11" t="s">
        <v>34</v>
      </c>
      <c r="D37" s="16">
        <v>720</v>
      </c>
      <c r="E37" s="184" t="s">
        <v>24</v>
      </c>
      <c r="F37" s="237"/>
      <c r="G37" s="129" t="s">
        <v>16</v>
      </c>
      <c r="H37" s="128">
        <f>+doğalgaz!R11</f>
        <v>244606</v>
      </c>
      <c r="I37" s="131">
        <f>+doğalgaz!S11</f>
        <v>2.5085103690414341</v>
      </c>
      <c r="J37" s="132" t="str">
        <f t="shared" si="2"/>
        <v>DÜŞÜK</v>
      </c>
      <c r="K37" s="251"/>
      <c r="L37" s="130">
        <f>+K31/112481*D37</f>
        <v>0</v>
      </c>
      <c r="M37" s="133" t="e">
        <f>+(L37/K31*100)</f>
        <v>#DIV/0!</v>
      </c>
      <c r="N37" s="132" t="e">
        <f t="shared" si="3"/>
        <v>#DIV/0!</v>
      </c>
      <c r="O37" s="221"/>
      <c r="P37" s="222"/>
    </row>
    <row r="38" spans="1:16" s="126" customFormat="1" x14ac:dyDescent="0.25">
      <c r="A38" s="127">
        <v>8</v>
      </c>
      <c r="B38" s="234"/>
      <c r="C38" s="11" t="s">
        <v>35</v>
      </c>
      <c r="D38" s="16"/>
      <c r="E38" s="184" t="s">
        <v>24</v>
      </c>
      <c r="F38" s="237"/>
      <c r="G38" s="129" t="s">
        <v>16</v>
      </c>
      <c r="H38" s="128">
        <f>+doğalgaz!R12</f>
        <v>460366</v>
      </c>
      <c r="I38" s="131">
        <f>+doğalgaz!S12</f>
        <v>4.7211960645042597</v>
      </c>
      <c r="J38" s="132" t="str">
        <f t="shared" si="2"/>
        <v>DÜŞÜK</v>
      </c>
      <c r="K38" s="251"/>
      <c r="L38" s="130">
        <f>+K31/112481*D38</f>
        <v>0</v>
      </c>
      <c r="M38" s="133" t="e">
        <f>+(L38/K31*100)</f>
        <v>#DIV/0!</v>
      </c>
      <c r="N38" s="132" t="e">
        <f t="shared" si="3"/>
        <v>#DIV/0!</v>
      </c>
      <c r="O38" s="221"/>
      <c r="P38" s="222"/>
    </row>
    <row r="39" spans="1:16" s="126" customFormat="1" ht="30" x14ac:dyDescent="0.25">
      <c r="A39" s="127">
        <v>9</v>
      </c>
      <c r="B39" s="234"/>
      <c r="C39" s="10" t="s">
        <v>36</v>
      </c>
      <c r="D39" s="15">
        <v>11250</v>
      </c>
      <c r="E39" s="184" t="s">
        <v>24</v>
      </c>
      <c r="F39" s="237"/>
      <c r="G39" s="129" t="s">
        <v>16</v>
      </c>
      <c r="H39" s="128">
        <f>+doğalgaz!R13</f>
        <v>1342338</v>
      </c>
      <c r="I39" s="131">
        <f>+doğalgaz!S13</f>
        <v>13.766092376140982</v>
      </c>
      <c r="J39" s="132" t="str">
        <f t="shared" si="2"/>
        <v>YÜKSEK</v>
      </c>
      <c r="K39" s="251"/>
      <c r="L39" s="130">
        <f>+K31/112481*D39</f>
        <v>0</v>
      </c>
      <c r="M39" s="133" t="e">
        <f>+(L39/K31*100)</f>
        <v>#DIV/0!</v>
      </c>
      <c r="N39" s="132" t="e">
        <f t="shared" si="3"/>
        <v>#DIV/0!</v>
      </c>
      <c r="O39" s="221"/>
      <c r="P39" s="222"/>
    </row>
    <row r="40" spans="1:16" s="126" customFormat="1" ht="30" x14ac:dyDescent="0.25">
      <c r="A40" s="127">
        <v>10</v>
      </c>
      <c r="B40" s="234"/>
      <c r="C40" s="10" t="s">
        <v>37</v>
      </c>
      <c r="D40" s="15"/>
      <c r="E40" s="184" t="s">
        <v>24</v>
      </c>
      <c r="F40" s="237"/>
      <c r="G40" s="129" t="s">
        <v>16</v>
      </c>
      <c r="H40" s="128">
        <f>+doğalgaz!R14</f>
        <v>38213</v>
      </c>
      <c r="I40" s="131">
        <f>+doğalgaz!S14</f>
        <v>0.39188616277679339</v>
      </c>
      <c r="J40" s="132" t="str">
        <f t="shared" si="2"/>
        <v>ÇOK AZ</v>
      </c>
      <c r="K40" s="251"/>
      <c r="L40" s="130">
        <f>+K31/112481*D40</f>
        <v>0</v>
      </c>
      <c r="M40" s="133" t="e">
        <f>+(L40/K31*100)</f>
        <v>#DIV/0!</v>
      </c>
      <c r="N40" s="132" t="e">
        <f t="shared" si="3"/>
        <v>#DIV/0!</v>
      </c>
      <c r="O40" s="221"/>
      <c r="P40" s="222"/>
    </row>
    <row r="41" spans="1:16" s="126" customFormat="1" ht="30" x14ac:dyDescent="0.25">
      <c r="A41" s="127">
        <v>11</v>
      </c>
      <c r="B41" s="234"/>
      <c r="C41" s="10" t="s">
        <v>38</v>
      </c>
      <c r="D41" s="15">
        <v>7700</v>
      </c>
      <c r="E41" s="184" t="s">
        <v>24</v>
      </c>
      <c r="F41" s="237"/>
      <c r="G41" s="129" t="s">
        <v>16</v>
      </c>
      <c r="H41" s="128">
        <f>+doğalgaz!R15</f>
        <v>1436227.0035778177</v>
      </c>
      <c r="I41" s="131">
        <f>+doğalgaz!S15</f>
        <v>14.728953217714466</v>
      </c>
      <c r="J41" s="132" t="str">
        <f t="shared" si="2"/>
        <v>YÜKSEK</v>
      </c>
      <c r="K41" s="251"/>
      <c r="L41" s="130">
        <f>+K31/112481*D41</f>
        <v>0</v>
      </c>
      <c r="M41" s="133" t="e">
        <f>+(L41/K31*100)</f>
        <v>#DIV/0!</v>
      </c>
      <c r="N41" s="132" t="e">
        <f t="shared" si="3"/>
        <v>#DIV/0!</v>
      </c>
      <c r="O41" s="221"/>
      <c r="P41" s="222"/>
    </row>
    <row r="42" spans="1:16" s="126" customFormat="1" x14ac:dyDescent="0.25">
      <c r="A42" s="127">
        <v>12</v>
      </c>
      <c r="B42" s="234"/>
      <c r="C42" s="10" t="s">
        <v>39</v>
      </c>
      <c r="D42" s="15">
        <v>3480</v>
      </c>
      <c r="E42" s="184" t="s">
        <v>24</v>
      </c>
      <c r="F42" s="237"/>
      <c r="G42" s="129" t="s">
        <v>16</v>
      </c>
      <c r="H42" s="128">
        <f>+doğalgaz!R16</f>
        <v>649099.99642218254</v>
      </c>
      <c r="I42" s="131">
        <f>+doğalgaz!S16</f>
        <v>6.656721713980045</v>
      </c>
      <c r="J42" s="132" t="str">
        <f t="shared" si="2"/>
        <v>ORTA</v>
      </c>
      <c r="K42" s="251"/>
      <c r="L42" s="130">
        <f>+K31/112481*D42</f>
        <v>0</v>
      </c>
      <c r="M42" s="133" t="e">
        <f>+(L42/K31*100)</f>
        <v>#DIV/0!</v>
      </c>
      <c r="N42" s="132" t="e">
        <f t="shared" si="3"/>
        <v>#DIV/0!</v>
      </c>
      <c r="O42" s="221"/>
      <c r="P42" s="222"/>
    </row>
    <row r="43" spans="1:16" s="126" customFormat="1" x14ac:dyDescent="0.25">
      <c r="A43" s="127">
        <v>13</v>
      </c>
      <c r="B43" s="234"/>
      <c r="C43" s="11" t="s">
        <v>40</v>
      </c>
      <c r="D43" s="16">
        <v>1207</v>
      </c>
      <c r="E43" s="184" t="s">
        <v>24</v>
      </c>
      <c r="F43" s="237"/>
      <c r="G43" s="129" t="s">
        <v>16</v>
      </c>
      <c r="H43" s="128">
        <f>+doğalgaz!R17</f>
        <v>127929</v>
      </c>
      <c r="I43" s="131">
        <f>+doğalgaz!S17</f>
        <v>1.3119515588378929</v>
      </c>
      <c r="J43" s="132" t="str">
        <f t="shared" si="2"/>
        <v>DÜŞÜK</v>
      </c>
      <c r="K43" s="251"/>
      <c r="L43" s="130">
        <f>+K31/112481*D43</f>
        <v>0</v>
      </c>
      <c r="M43" s="133" t="e">
        <f>+(L43/K31*100)</f>
        <v>#DIV/0!</v>
      </c>
      <c r="N43" s="132" t="e">
        <f t="shared" si="3"/>
        <v>#DIV/0!</v>
      </c>
      <c r="O43" s="221"/>
      <c r="P43" s="222"/>
    </row>
    <row r="44" spans="1:16" s="126" customFormat="1" x14ac:dyDescent="0.25">
      <c r="A44" s="127">
        <v>14</v>
      </c>
      <c r="B44" s="234"/>
      <c r="C44" s="11" t="s">
        <v>41</v>
      </c>
      <c r="D44" s="16">
        <v>214</v>
      </c>
      <c r="E44" s="184" t="s">
        <v>24</v>
      </c>
      <c r="F44" s="237"/>
      <c r="G44" s="129" t="s">
        <v>16</v>
      </c>
      <c r="H44" s="128">
        <f>+doğalgaz!R18</f>
        <v>0</v>
      </c>
      <c r="I44" s="131">
        <f>+doğalgaz!S18</f>
        <v>0</v>
      </c>
      <c r="J44" s="132" t="str">
        <f t="shared" si="2"/>
        <v>ÇOK AZ</v>
      </c>
      <c r="K44" s="251"/>
      <c r="L44" s="130">
        <f>+K31/112481*D44</f>
        <v>0</v>
      </c>
      <c r="M44" s="133" t="e">
        <f>+(L44/K31*100)</f>
        <v>#DIV/0!</v>
      </c>
      <c r="N44" s="132" t="e">
        <f t="shared" si="3"/>
        <v>#DIV/0!</v>
      </c>
      <c r="O44" s="221"/>
      <c r="P44" s="222"/>
    </row>
    <row r="45" spans="1:16" s="126" customFormat="1" x14ac:dyDescent="0.25">
      <c r="A45" s="127">
        <v>15</v>
      </c>
      <c r="B45" s="234"/>
      <c r="C45" s="10" t="s">
        <v>42</v>
      </c>
      <c r="D45" s="15">
        <v>12000</v>
      </c>
      <c r="E45" s="184" t="s">
        <v>24</v>
      </c>
      <c r="F45" s="237"/>
      <c r="G45" s="129" t="s">
        <v>16</v>
      </c>
      <c r="H45" s="128">
        <f>+doğalgaz!R19</f>
        <v>1493793.3806146572</v>
      </c>
      <c r="I45" s="131">
        <f>+doğalgaz!S19</f>
        <v>15.319314262435613</v>
      </c>
      <c r="J45" s="132" t="str">
        <f t="shared" si="2"/>
        <v>YÜKSEK</v>
      </c>
      <c r="K45" s="251"/>
      <c r="L45" s="130">
        <f>+K31/112481*D45</f>
        <v>0</v>
      </c>
      <c r="M45" s="133" t="e">
        <f>+(L45/K31*100)</f>
        <v>#DIV/0!</v>
      </c>
      <c r="N45" s="132" t="e">
        <f t="shared" si="3"/>
        <v>#DIV/0!</v>
      </c>
      <c r="O45" s="221"/>
      <c r="P45" s="222"/>
    </row>
    <row r="46" spans="1:16" s="126" customFormat="1" x14ac:dyDescent="0.25">
      <c r="A46" s="127">
        <v>16</v>
      </c>
      <c r="B46" s="234"/>
      <c r="C46" s="10" t="s">
        <v>43</v>
      </c>
      <c r="D46" s="15">
        <v>3400</v>
      </c>
      <c r="E46" s="184" t="s">
        <v>24</v>
      </c>
      <c r="F46" s="237"/>
      <c r="G46" s="129" t="s">
        <v>16</v>
      </c>
      <c r="H46" s="128">
        <f>+doğalgaz!R20</f>
        <v>423241.45784081955</v>
      </c>
      <c r="I46" s="131">
        <f>+doğalgaz!S20</f>
        <v>4.3404723743567564</v>
      </c>
      <c r="J46" s="132" t="str">
        <f t="shared" si="2"/>
        <v>DÜŞÜK</v>
      </c>
      <c r="K46" s="251"/>
      <c r="L46" s="130">
        <f>+K31/112481*D46</f>
        <v>0</v>
      </c>
      <c r="M46" s="133" t="e">
        <f>+(L46/K31*100)</f>
        <v>#DIV/0!</v>
      </c>
      <c r="N46" s="132" t="e">
        <f t="shared" si="3"/>
        <v>#DIV/0!</v>
      </c>
      <c r="O46" s="221"/>
      <c r="P46" s="222"/>
    </row>
    <row r="47" spans="1:16" s="126" customFormat="1" ht="15.95" customHeight="1" x14ac:dyDescent="0.25">
      <c r="A47" s="127">
        <v>17</v>
      </c>
      <c r="B47" s="234"/>
      <c r="C47" s="10" t="s">
        <v>44</v>
      </c>
      <c r="D47" s="15">
        <v>3480</v>
      </c>
      <c r="E47" s="184" t="s">
        <v>24</v>
      </c>
      <c r="F47" s="237"/>
      <c r="G47" s="129" t="s">
        <v>16</v>
      </c>
      <c r="H47" s="128">
        <f>+doğalgaz!R21</f>
        <v>433200.08037825057</v>
      </c>
      <c r="I47" s="131">
        <f>+doğalgaz!S21</f>
        <v>4.4426011361063269</v>
      </c>
      <c r="J47" s="132" t="str">
        <f t="shared" si="2"/>
        <v>DÜŞÜK</v>
      </c>
      <c r="K47" s="251"/>
      <c r="L47" s="130">
        <f>+K31/112481*D47</f>
        <v>0</v>
      </c>
      <c r="M47" s="133" t="e">
        <f>+(L47/K31*100)</f>
        <v>#DIV/0!</v>
      </c>
      <c r="N47" s="132" t="e">
        <f t="shared" si="3"/>
        <v>#DIV/0!</v>
      </c>
      <c r="O47" s="221"/>
      <c r="P47" s="222"/>
    </row>
    <row r="48" spans="1:16" s="126" customFormat="1" ht="16.5" thickBot="1" x14ac:dyDescent="0.3">
      <c r="A48" s="146">
        <v>18</v>
      </c>
      <c r="B48" s="235"/>
      <c r="C48" s="41" t="s">
        <v>45</v>
      </c>
      <c r="D48" s="102">
        <v>6500</v>
      </c>
      <c r="E48" s="187" t="s">
        <v>24</v>
      </c>
      <c r="F48" s="238"/>
      <c r="G48" s="148" t="s">
        <v>16</v>
      </c>
      <c r="H48" s="147">
        <f>+doğalgaz!R22</f>
        <v>809138.08116627263</v>
      </c>
      <c r="I48" s="150">
        <f>+doğalgaz!S22</f>
        <v>8.2979618921526228</v>
      </c>
      <c r="J48" s="132" t="str">
        <f t="shared" si="2"/>
        <v>ORTA</v>
      </c>
      <c r="K48" s="252"/>
      <c r="L48" s="149">
        <f>+K31/112481*D48</f>
        <v>0</v>
      </c>
      <c r="M48" s="152" t="e">
        <f>+(L48/K31*100)</f>
        <v>#DIV/0!</v>
      </c>
      <c r="N48" s="151" t="e">
        <f t="shared" si="3"/>
        <v>#DIV/0!</v>
      </c>
      <c r="O48" s="223"/>
      <c r="P48" s="224"/>
    </row>
    <row r="49" spans="1:16" s="126" customFormat="1" x14ac:dyDescent="0.25">
      <c r="A49" s="118">
        <v>19</v>
      </c>
      <c r="B49" s="263" t="s">
        <v>46</v>
      </c>
      <c r="C49" s="13" t="s">
        <v>47</v>
      </c>
      <c r="D49" s="264">
        <v>3350</v>
      </c>
      <c r="E49" s="183" t="s">
        <v>24</v>
      </c>
      <c r="F49" s="236">
        <f>+doğalgaz!Q24</f>
        <v>172563</v>
      </c>
      <c r="G49" s="120" t="s">
        <v>16</v>
      </c>
      <c r="H49" s="236">
        <f>+doğalgaz!R24</f>
        <v>172563</v>
      </c>
      <c r="I49" s="246">
        <f>+doğalgaz!S24</f>
        <v>1.7696870674182033</v>
      </c>
      <c r="J49" s="249" t="str">
        <f t="shared" si="2"/>
        <v>DÜŞÜK</v>
      </c>
      <c r="K49" s="239"/>
      <c r="L49" s="236">
        <f>+K49/112481*D49</f>
        <v>0</v>
      </c>
      <c r="M49" s="262" t="e">
        <f>+(L49/K49*100)</f>
        <v>#DIV/0!</v>
      </c>
      <c r="N49" s="249" t="e">
        <f t="shared" si="3"/>
        <v>#DIV/0!</v>
      </c>
      <c r="O49" s="258"/>
      <c r="P49" s="259"/>
    </row>
    <row r="50" spans="1:16" s="126" customFormat="1" x14ac:dyDescent="0.25">
      <c r="A50" s="127">
        <v>20</v>
      </c>
      <c r="B50" s="234"/>
      <c r="C50" s="10" t="s">
        <v>48</v>
      </c>
      <c r="D50" s="256"/>
      <c r="E50" s="184" t="s">
        <v>24</v>
      </c>
      <c r="F50" s="237"/>
      <c r="G50" s="129" t="s">
        <v>16</v>
      </c>
      <c r="H50" s="237"/>
      <c r="I50" s="247"/>
      <c r="J50" s="229"/>
      <c r="K50" s="240"/>
      <c r="L50" s="237"/>
      <c r="M50" s="226"/>
      <c r="N50" s="229"/>
      <c r="O50" s="221"/>
      <c r="P50" s="222"/>
    </row>
    <row r="51" spans="1:16" s="126" customFormat="1" x14ac:dyDescent="0.25">
      <c r="A51" s="127">
        <v>21</v>
      </c>
      <c r="B51" s="234"/>
      <c r="C51" s="10" t="s">
        <v>49</v>
      </c>
      <c r="D51" s="256"/>
      <c r="E51" s="184" t="s">
        <v>24</v>
      </c>
      <c r="F51" s="237"/>
      <c r="G51" s="129" t="s">
        <v>16</v>
      </c>
      <c r="H51" s="237"/>
      <c r="I51" s="247"/>
      <c r="J51" s="229"/>
      <c r="K51" s="240"/>
      <c r="L51" s="237"/>
      <c r="M51" s="226"/>
      <c r="N51" s="229"/>
      <c r="O51" s="221"/>
      <c r="P51" s="222"/>
    </row>
    <row r="52" spans="1:16" s="126" customFormat="1" ht="16.5" thickBot="1" x14ac:dyDescent="0.3">
      <c r="A52" s="146">
        <v>22</v>
      </c>
      <c r="B52" s="235"/>
      <c r="C52" s="41" t="s">
        <v>50</v>
      </c>
      <c r="D52" s="257"/>
      <c r="E52" s="187" t="s">
        <v>24</v>
      </c>
      <c r="F52" s="238"/>
      <c r="G52" s="148" t="s">
        <v>16</v>
      </c>
      <c r="H52" s="238"/>
      <c r="I52" s="248"/>
      <c r="J52" s="230"/>
      <c r="K52" s="244"/>
      <c r="L52" s="238"/>
      <c r="M52" s="227"/>
      <c r="N52" s="230"/>
      <c r="O52" s="223"/>
      <c r="P52" s="224"/>
    </row>
    <row r="53" spans="1:16" s="126" customFormat="1" x14ac:dyDescent="0.25">
      <c r="A53" s="153">
        <v>1</v>
      </c>
      <c r="B53" s="154" t="s">
        <v>27</v>
      </c>
      <c r="C53" s="154" t="s">
        <v>55</v>
      </c>
      <c r="D53" s="155"/>
      <c r="E53" s="188" t="s">
        <v>51</v>
      </c>
      <c r="F53" s="156"/>
      <c r="G53" s="157"/>
      <c r="H53" s="156"/>
      <c r="I53" s="158"/>
      <c r="J53" s="159"/>
      <c r="K53" s="124"/>
      <c r="L53" s="124"/>
      <c r="M53" s="160"/>
      <c r="N53" s="159"/>
      <c r="O53" s="161"/>
      <c r="P53" s="162"/>
    </row>
    <row r="54" spans="1:16" s="126" customFormat="1" ht="26.25" thickBot="1" x14ac:dyDescent="0.3">
      <c r="A54" s="163">
        <v>2</v>
      </c>
      <c r="B54" s="164" t="s">
        <v>46</v>
      </c>
      <c r="C54" s="164"/>
      <c r="D54" s="165"/>
      <c r="E54" s="189" t="s">
        <v>51</v>
      </c>
      <c r="F54" s="166"/>
      <c r="G54" s="167"/>
      <c r="H54" s="166"/>
      <c r="I54" s="168"/>
      <c r="J54" s="169"/>
      <c r="K54" s="139"/>
      <c r="L54" s="139"/>
      <c r="M54" s="170"/>
      <c r="N54" s="169"/>
      <c r="O54" s="171"/>
      <c r="P54" s="172"/>
    </row>
    <row r="55" spans="1:16" s="173" customFormat="1" ht="9.75" customHeight="1" x14ac:dyDescent="0.25">
      <c r="A55" s="279"/>
      <c r="B55" s="280"/>
      <c r="C55" s="280"/>
      <c r="D55" s="280"/>
      <c r="E55" s="280"/>
      <c r="F55" s="280"/>
      <c r="G55" s="280"/>
      <c r="H55" s="280"/>
      <c r="I55" s="280"/>
      <c r="J55" s="280"/>
      <c r="K55" s="280"/>
      <c r="L55" s="280"/>
      <c r="M55" s="280"/>
      <c r="N55" s="280"/>
      <c r="O55" s="280"/>
      <c r="P55" s="281"/>
    </row>
    <row r="56" spans="1:16" s="173" customFormat="1" ht="12" customHeight="1" x14ac:dyDescent="0.25">
      <c r="A56" s="282" t="s">
        <v>10</v>
      </c>
      <c r="B56" s="282"/>
      <c r="C56" s="282"/>
      <c r="D56" s="282"/>
      <c r="E56" s="282"/>
      <c r="F56" s="282"/>
      <c r="G56" s="174"/>
      <c r="H56" s="282" t="s">
        <v>11</v>
      </c>
      <c r="I56" s="282"/>
      <c r="J56" s="282"/>
      <c r="K56" s="282"/>
      <c r="L56" s="283" t="s">
        <v>12</v>
      </c>
      <c r="M56" s="284"/>
      <c r="N56" s="285"/>
      <c r="O56" s="282" t="s">
        <v>13</v>
      </c>
      <c r="P56" s="282"/>
    </row>
    <row r="57" spans="1:16" s="173" customFormat="1" x14ac:dyDescent="0.25">
      <c r="A57" s="270">
        <v>45289</v>
      </c>
      <c r="B57" s="271"/>
      <c r="C57" s="271"/>
      <c r="D57" s="271"/>
      <c r="E57" s="271"/>
      <c r="F57" s="271"/>
      <c r="G57" s="272"/>
      <c r="H57" s="261"/>
      <c r="I57" s="261"/>
      <c r="J57" s="261"/>
      <c r="K57" s="261"/>
      <c r="L57" s="265"/>
      <c r="M57" s="266"/>
      <c r="N57" s="267"/>
      <c r="O57" s="261"/>
      <c r="P57" s="261"/>
    </row>
    <row r="58" spans="1:16" s="173" customFormat="1" x14ac:dyDescent="0.25">
      <c r="A58" s="273"/>
      <c r="B58" s="274"/>
      <c r="C58" s="274"/>
      <c r="D58" s="274"/>
      <c r="E58" s="274"/>
      <c r="F58" s="274"/>
      <c r="G58" s="275"/>
      <c r="H58" s="261"/>
      <c r="I58" s="261"/>
      <c r="J58" s="261"/>
      <c r="K58" s="261"/>
      <c r="L58" s="260"/>
      <c r="M58" s="260"/>
      <c r="N58" s="260"/>
      <c r="O58" s="261"/>
      <c r="P58" s="261"/>
    </row>
    <row r="59" spans="1:16" s="173" customFormat="1" x14ac:dyDescent="0.25">
      <c r="A59" s="273"/>
      <c r="B59" s="274"/>
      <c r="C59" s="274"/>
      <c r="D59" s="274"/>
      <c r="E59" s="274"/>
      <c r="F59" s="274"/>
      <c r="G59" s="275"/>
      <c r="H59" s="261"/>
      <c r="I59" s="261"/>
      <c r="J59" s="261"/>
      <c r="K59" s="261"/>
      <c r="L59" s="260"/>
      <c r="M59" s="260"/>
      <c r="N59" s="260"/>
      <c r="O59" s="261"/>
      <c r="P59" s="261"/>
    </row>
    <row r="60" spans="1:16" s="173" customFormat="1" x14ac:dyDescent="0.25">
      <c r="A60" s="273"/>
      <c r="B60" s="274"/>
      <c r="C60" s="274"/>
      <c r="D60" s="274"/>
      <c r="E60" s="274"/>
      <c r="F60" s="274"/>
      <c r="G60" s="275"/>
      <c r="H60" s="261"/>
      <c r="I60" s="261"/>
      <c r="J60" s="261"/>
      <c r="K60" s="261"/>
      <c r="L60" s="260"/>
      <c r="M60" s="260"/>
      <c r="N60" s="260"/>
      <c r="O60" s="261"/>
      <c r="P60" s="261"/>
    </row>
    <row r="61" spans="1:16" s="173" customFormat="1" x14ac:dyDescent="0.25">
      <c r="A61" s="273"/>
      <c r="B61" s="274"/>
      <c r="C61" s="274"/>
      <c r="D61" s="274"/>
      <c r="E61" s="274"/>
      <c r="F61" s="274"/>
      <c r="G61" s="275"/>
      <c r="H61" s="261"/>
      <c r="I61" s="261"/>
      <c r="J61" s="261"/>
      <c r="K61" s="261"/>
      <c r="L61" s="260"/>
      <c r="M61" s="260"/>
      <c r="N61" s="260"/>
      <c r="O61" s="261"/>
      <c r="P61" s="261"/>
    </row>
    <row r="62" spans="1:16" s="173" customFormat="1" x14ac:dyDescent="0.25">
      <c r="A62" s="276"/>
      <c r="B62" s="277"/>
      <c r="C62" s="277"/>
      <c r="D62" s="277"/>
      <c r="E62" s="277"/>
      <c r="F62" s="277"/>
      <c r="G62" s="278"/>
      <c r="H62" s="261"/>
      <c r="I62" s="261"/>
      <c r="J62" s="261"/>
      <c r="K62" s="261"/>
      <c r="L62" s="260"/>
      <c r="M62" s="260"/>
      <c r="N62" s="260"/>
      <c r="O62" s="261"/>
      <c r="P62" s="261"/>
    </row>
    <row r="63" spans="1:16" s="173" customFormat="1" x14ac:dyDescent="0.25">
      <c r="A63" s="175"/>
      <c r="B63" s="110"/>
      <c r="C63" s="110"/>
      <c r="D63" s="176"/>
      <c r="E63" s="175"/>
      <c r="F63" s="177"/>
      <c r="G63" s="177"/>
      <c r="H63" s="177"/>
      <c r="I63" s="177"/>
      <c r="J63" s="177"/>
      <c r="K63" s="178"/>
      <c r="L63" s="179"/>
      <c r="M63" s="180"/>
      <c r="O63" s="386" t="s">
        <v>79</v>
      </c>
      <c r="P63" s="386"/>
    </row>
    <row r="64" spans="1:16" s="173" customFormat="1" x14ac:dyDescent="0.25">
      <c r="A64" s="175"/>
      <c r="B64" s="110"/>
      <c r="C64" s="110"/>
      <c r="D64" s="176"/>
      <c r="E64" s="175"/>
      <c r="F64" s="177"/>
      <c r="G64" s="177"/>
      <c r="H64" s="177"/>
      <c r="I64" s="177"/>
      <c r="J64" s="181"/>
      <c r="K64" s="182"/>
      <c r="L64" s="179"/>
      <c r="M64" s="180"/>
    </row>
  </sheetData>
  <autoFilter ref="A8:P45">
    <filterColumn colId="14" showButton="0"/>
  </autoFilter>
  <mergeCells count="82">
    <mergeCell ref="O63:P63"/>
    <mergeCell ref="A5:O5"/>
    <mergeCell ref="A6:A8"/>
    <mergeCell ref="E6:E8"/>
    <mergeCell ref="F6:N6"/>
    <mergeCell ref="O6:P8"/>
    <mergeCell ref="F7:F8"/>
    <mergeCell ref="B6:C8"/>
    <mergeCell ref="D6:D8"/>
    <mergeCell ref="L7:M7"/>
    <mergeCell ref="N7:N8"/>
    <mergeCell ref="O9:P9"/>
    <mergeCell ref="O10:P10"/>
    <mergeCell ref="O11:P11"/>
    <mergeCell ref="G7:G8"/>
    <mergeCell ref="H7:H8"/>
    <mergeCell ref="I7:I8"/>
    <mergeCell ref="J7:J8"/>
    <mergeCell ref="K7:K8"/>
    <mergeCell ref="B49:B52"/>
    <mergeCell ref="D49:D52"/>
    <mergeCell ref="F49:F52"/>
    <mergeCell ref="O19:P19"/>
    <mergeCell ref="L57:N57"/>
    <mergeCell ref="O57:P57"/>
    <mergeCell ref="O26:P26"/>
    <mergeCell ref="O20:P20"/>
    <mergeCell ref="A57:G62"/>
    <mergeCell ref="H57:K57"/>
    <mergeCell ref="A55:P55"/>
    <mergeCell ref="A56:F56"/>
    <mergeCell ref="H56:K56"/>
    <mergeCell ref="L56:N56"/>
    <mergeCell ref="O56:P56"/>
    <mergeCell ref="H58:K62"/>
    <mergeCell ref="L58:N62"/>
    <mergeCell ref="O58:P62"/>
    <mergeCell ref="O23:P23"/>
    <mergeCell ref="O24:P24"/>
    <mergeCell ref="O25:P25"/>
    <mergeCell ref="M49:M52"/>
    <mergeCell ref="N49:N52"/>
    <mergeCell ref="O49:P52"/>
    <mergeCell ref="O39:P39"/>
    <mergeCell ref="O40:P40"/>
    <mergeCell ref="K31:K48"/>
    <mergeCell ref="B9:B26"/>
    <mergeCell ref="B27:B30"/>
    <mergeCell ref="D27:D30"/>
    <mergeCell ref="O43:P43"/>
    <mergeCell ref="O44:P44"/>
    <mergeCell ref="O14:P14"/>
    <mergeCell ref="O17:P17"/>
    <mergeCell ref="O16:P16"/>
    <mergeCell ref="O18:P18"/>
    <mergeCell ref="O15:P15"/>
    <mergeCell ref="O13:P13"/>
    <mergeCell ref="O12:P12"/>
    <mergeCell ref="O34:P36"/>
    <mergeCell ref="O31:P33"/>
    <mergeCell ref="O38:P38"/>
    <mergeCell ref="H49:H52"/>
    <mergeCell ref="I49:I52"/>
    <mergeCell ref="J49:J52"/>
    <mergeCell ref="K49:K52"/>
    <mergeCell ref="L49:L52"/>
    <mergeCell ref="A1:N4"/>
    <mergeCell ref="O45:P48"/>
    <mergeCell ref="O41:P42"/>
    <mergeCell ref="M27:M30"/>
    <mergeCell ref="N27:N30"/>
    <mergeCell ref="O27:P30"/>
    <mergeCell ref="B31:B48"/>
    <mergeCell ref="F31:F48"/>
    <mergeCell ref="O37:P37"/>
    <mergeCell ref="K9:K26"/>
    <mergeCell ref="F27:F30"/>
    <mergeCell ref="L27:L30"/>
    <mergeCell ref="K27:K30"/>
    <mergeCell ref="F9:F26"/>
    <mergeCell ref="O21:P21"/>
    <mergeCell ref="O22:P22"/>
  </mergeCells>
  <conditionalFormatting sqref="J5:J49 J53:J54 J56:J1048576">
    <cfRule type="beginsWith" dxfId="8" priority="11" operator="beginsWith" text="ÇOK AZ">
      <formula>LEFT(J5,LEN("ÇOK AZ"))="ÇOK AZ"</formula>
    </cfRule>
    <cfRule type="beginsWith" dxfId="7" priority="14" operator="beginsWith" text="YÜKSEK">
      <formula>LEFT(J5,LEN("YÜKSEK"))="YÜKSEK"</formula>
    </cfRule>
    <cfRule type="beginsWith" dxfId="6" priority="13" operator="beginsWith" text="DÜŞÜK">
      <formula>LEFT(J5,LEN("DÜŞÜK"))="DÜŞÜK"</formula>
    </cfRule>
    <cfRule type="beginsWith" dxfId="5" priority="10" operator="beginsWith" text="ÇOK YÜKSEK">
      <formula>LEFT(J5,LEN("ÇOK YÜKSEK"))="ÇOK YÜKSEK"</formula>
    </cfRule>
    <cfRule type="beginsWith" dxfId="4" priority="12" operator="beginsWith" text="ORTA">
      <formula>LEFT(J5,LEN("ORTA"))="ORTA"</formula>
    </cfRule>
  </conditionalFormatting>
  <conditionalFormatting sqref="N5:N27 N31:N49 N53:N54 N56:N1048576">
    <cfRule type="beginsWith" dxfId="3" priority="9" operator="beginsWith" text="KABUL EDİLEMEZ RİSK">
      <formula>LEFT(N5,LEN("KABUL EDİLEMEZ RİSK"))="KABUL EDİLEMEZ RİSK"</formula>
    </cfRule>
    <cfRule type="beginsWith" dxfId="2" priority="8" operator="beginsWith" text="DİKKATE DEĞER RİSK">
      <formula>LEFT(N5,LEN("DİKKATE DEĞER RİSK"))="DİKKATE DEĞER RİSK"</formula>
    </cfRule>
    <cfRule type="beginsWith" dxfId="1" priority="7" operator="beginsWith" text="KABUL EDİLEBİLİR RİSK">
      <formula>LEFT(N5,LEN("KABUL EDİLEBİLİR RİSK"))="KABUL EDİLEBİLİR RİSK"</formula>
    </cfRule>
  </conditionalFormatting>
  <pageMargins left="0.75" right="0.75" top="1" bottom="1" header="0.5" footer="0.5"/>
  <pageSetup paperSize="9" scale="36" orientation="portrait" horizontalDpi="4294967292" verticalDpi="4294967292" r:id="rId1"/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beginsWith" priority="15" operator="beginsWith" id="{6F76AED5-9488-45D5-85C5-025503D3B975}">
            <xm:f>LEFT(J5,LEN($J$9))=$J$9</xm:f>
            <xm:f>$J$9</xm:f>
            <x14:dxf>
              <fill>
                <patternFill>
                  <bgColor rgb="FFFF0000"/>
                </patternFill>
              </fill>
            </x14:dxf>
          </x14:cfRule>
          <xm:sqref>J5:J49 J53:J54 J56:J1048576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U28"/>
  <sheetViews>
    <sheetView topLeftCell="D13" workbookViewId="0">
      <selection activeCell="M5" sqref="A2:U22"/>
    </sheetView>
  </sheetViews>
  <sheetFormatPr defaultColWidth="8.875" defaultRowHeight="15" x14ac:dyDescent="0.25"/>
  <cols>
    <col min="1" max="1" width="8.875" style="23"/>
    <col min="2" max="2" width="8.125" style="23" customWidth="1"/>
    <col min="3" max="3" width="37.125" style="22" customWidth="1"/>
    <col min="4" max="4" width="9.625" style="58" bestFit="1" customWidth="1"/>
    <col min="5" max="6" width="11.125" style="58" bestFit="1" customWidth="1"/>
    <col min="7" max="9" width="12.625" style="58" bestFit="1" customWidth="1"/>
    <col min="10" max="10" width="11.125" style="58" bestFit="1" customWidth="1"/>
    <col min="11" max="11" width="12.625" style="58" bestFit="1" customWidth="1"/>
    <col min="12" max="16" width="11.125" style="58" bestFit="1" customWidth="1"/>
    <col min="17" max="18" width="12.625" style="58" bestFit="1" customWidth="1"/>
    <col min="19" max="19" width="12.625" style="58" customWidth="1"/>
    <col min="20" max="20" width="12" style="58" customWidth="1"/>
    <col min="21" max="21" width="12.5" style="58" bestFit="1" customWidth="1"/>
    <col min="22" max="16384" width="8.875" style="22"/>
  </cols>
  <sheetData>
    <row r="2" spans="1:21" ht="19.5" thickBot="1" x14ac:dyDescent="0.3">
      <c r="A2" s="303" t="s">
        <v>58</v>
      </c>
      <c r="B2" s="303"/>
      <c r="C2" s="303"/>
      <c r="D2" s="303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3"/>
      <c r="U2" s="303"/>
    </row>
    <row r="3" spans="1:21" s="23" customFormat="1" ht="15" customHeight="1" x14ac:dyDescent="0.25">
      <c r="A3" s="305" t="s">
        <v>59</v>
      </c>
      <c r="B3" s="307" t="s">
        <v>60</v>
      </c>
      <c r="C3" s="307" t="s">
        <v>61</v>
      </c>
      <c r="D3" s="309" t="s">
        <v>62</v>
      </c>
      <c r="E3" s="311" t="s">
        <v>71</v>
      </c>
      <c r="F3" s="312"/>
      <c r="G3" s="312"/>
      <c r="H3" s="312"/>
      <c r="I3" s="312"/>
      <c r="J3" s="312"/>
      <c r="K3" s="312"/>
      <c r="L3" s="312"/>
      <c r="M3" s="312"/>
      <c r="N3" s="312"/>
      <c r="O3" s="312"/>
      <c r="P3" s="313"/>
      <c r="Q3" s="341" t="s">
        <v>64</v>
      </c>
      <c r="R3" s="342"/>
      <c r="S3" s="343"/>
      <c r="T3" s="314" t="s">
        <v>65</v>
      </c>
      <c r="U3" s="315"/>
    </row>
    <row r="4" spans="1:21" s="23" customFormat="1" ht="45.75" thickBot="1" x14ac:dyDescent="0.3">
      <c r="A4" s="306"/>
      <c r="B4" s="308"/>
      <c r="C4" s="308"/>
      <c r="D4" s="310"/>
      <c r="E4" s="24">
        <v>44835</v>
      </c>
      <c r="F4" s="25">
        <v>44866</v>
      </c>
      <c r="G4" s="25">
        <v>44896</v>
      </c>
      <c r="H4" s="25">
        <v>44927</v>
      </c>
      <c r="I4" s="25">
        <v>44958</v>
      </c>
      <c r="J4" s="25">
        <v>44986</v>
      </c>
      <c r="K4" s="25">
        <v>45017</v>
      </c>
      <c r="L4" s="25">
        <v>45047</v>
      </c>
      <c r="M4" s="25">
        <v>45078</v>
      </c>
      <c r="N4" s="25">
        <v>45108</v>
      </c>
      <c r="O4" s="25">
        <v>45139</v>
      </c>
      <c r="P4" s="77">
        <v>45170</v>
      </c>
      <c r="Q4" s="26" t="s">
        <v>66</v>
      </c>
      <c r="R4" s="99" t="s">
        <v>67</v>
      </c>
      <c r="S4" s="100" t="s">
        <v>72</v>
      </c>
      <c r="T4" s="60" t="s">
        <v>68</v>
      </c>
      <c r="U4" s="61" t="s">
        <v>69</v>
      </c>
    </row>
    <row r="5" spans="1:21" s="33" customFormat="1" x14ac:dyDescent="0.25">
      <c r="A5" s="316">
        <v>1</v>
      </c>
      <c r="B5" s="318" t="s">
        <v>27</v>
      </c>
      <c r="C5" s="30" t="s">
        <v>28</v>
      </c>
      <c r="D5" s="31">
        <v>10750</v>
      </c>
      <c r="E5" s="321">
        <v>25783</v>
      </c>
      <c r="F5" s="301">
        <v>134875</v>
      </c>
      <c r="G5" s="301">
        <v>332599</v>
      </c>
      <c r="H5" s="301">
        <v>360736</v>
      </c>
      <c r="I5" s="301">
        <v>252102</v>
      </c>
      <c r="J5" s="301">
        <v>9941</v>
      </c>
      <c r="K5" s="301">
        <v>160644</v>
      </c>
      <c r="L5" s="301">
        <v>26714</v>
      </c>
      <c r="M5" s="301">
        <v>1753</v>
      </c>
      <c r="N5" s="301">
        <v>95</v>
      </c>
      <c r="O5" s="301">
        <v>40</v>
      </c>
      <c r="P5" s="323">
        <v>725</v>
      </c>
      <c r="Q5" s="325">
        <f>SUM(E5:P7)</f>
        <v>1306007</v>
      </c>
      <c r="R5" s="92">
        <f>+Q5/(D5+D6+D7)*D5</f>
        <v>350551.19225967542</v>
      </c>
      <c r="S5" s="93">
        <f>+((R5/Q28)*100)</f>
        <v>3.5950111635169741</v>
      </c>
      <c r="T5" s="64">
        <f>1026+107+12</f>
        <v>1145</v>
      </c>
      <c r="U5" s="106"/>
    </row>
    <row r="6" spans="1:21" s="33" customFormat="1" ht="30" x14ac:dyDescent="0.25">
      <c r="A6" s="316"/>
      <c r="B6" s="319"/>
      <c r="C6" s="10" t="s">
        <v>29</v>
      </c>
      <c r="D6" s="34">
        <v>11800</v>
      </c>
      <c r="E6" s="32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24"/>
      <c r="Q6" s="326"/>
      <c r="R6" s="82">
        <f>+Q5/(D5+D6+D7)*D6</f>
        <v>384791.07615480648</v>
      </c>
      <c r="S6" s="85">
        <f>+((R6/Q28)*100)</f>
        <v>3.9461517887907256</v>
      </c>
      <c r="T6" s="32">
        <f>555+497+1201+72+70+105+2</f>
        <v>2502</v>
      </c>
      <c r="U6" s="103"/>
    </row>
    <row r="7" spans="1:21" s="33" customFormat="1" ht="30" x14ac:dyDescent="0.25">
      <c r="A7" s="317"/>
      <c r="B7" s="319"/>
      <c r="C7" s="10" t="s">
        <v>30</v>
      </c>
      <c r="D7" s="34">
        <v>17500</v>
      </c>
      <c r="E7" s="32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24"/>
      <c r="Q7" s="326"/>
      <c r="R7" s="82">
        <f>+Q5/(D5+D6+D7)*D7</f>
        <v>570664.73158551811</v>
      </c>
      <c r="S7" s="85">
        <f>+((R7/Q28)*100)</f>
        <v>5.8523437545625168</v>
      </c>
      <c r="T7" s="32">
        <f>930+713+681+1094+1+120+68+75+58</f>
        <v>3740</v>
      </c>
      <c r="U7" s="103"/>
    </row>
    <row r="8" spans="1:21" s="33" customFormat="1" ht="30" x14ac:dyDescent="0.25">
      <c r="A8" s="327">
        <v>2</v>
      </c>
      <c r="B8" s="319"/>
      <c r="C8" s="10" t="s">
        <v>31</v>
      </c>
      <c r="D8" s="34">
        <v>11450</v>
      </c>
      <c r="E8" s="330">
        <v>2325</v>
      </c>
      <c r="F8" s="331">
        <v>82378</v>
      </c>
      <c r="G8" s="331">
        <v>172659</v>
      </c>
      <c r="H8" s="331">
        <v>224045</v>
      </c>
      <c r="I8" s="331">
        <v>180723</v>
      </c>
      <c r="J8" s="331">
        <v>0</v>
      </c>
      <c r="K8" s="331">
        <v>110548</v>
      </c>
      <c r="L8" s="331">
        <v>41646</v>
      </c>
      <c r="M8" s="331">
        <v>0</v>
      </c>
      <c r="N8" s="331">
        <v>0</v>
      </c>
      <c r="O8" s="331">
        <v>0</v>
      </c>
      <c r="P8" s="333">
        <v>0</v>
      </c>
      <c r="Q8" s="326">
        <f>SUM(E8:P10)</f>
        <v>814324</v>
      </c>
      <c r="R8" s="82">
        <f>+Q8/(D8+D9+D10)*D8</f>
        <v>487402.49869315216</v>
      </c>
      <c r="S8" s="85">
        <f>+((R8/Q28)*100)</f>
        <v>4.9984637411530226</v>
      </c>
      <c r="T8" s="32">
        <f>469+396+12+45+39</f>
        <v>961</v>
      </c>
      <c r="U8" s="103"/>
    </row>
    <row r="9" spans="1:21" s="33" customFormat="1" x14ac:dyDescent="0.25">
      <c r="A9" s="328"/>
      <c r="B9" s="319"/>
      <c r="C9" s="11" t="s">
        <v>32</v>
      </c>
      <c r="D9" s="34">
        <v>4200</v>
      </c>
      <c r="E9" s="330"/>
      <c r="F9" s="331"/>
      <c r="G9" s="331"/>
      <c r="H9" s="331"/>
      <c r="I9" s="331"/>
      <c r="J9" s="331"/>
      <c r="K9" s="331"/>
      <c r="L9" s="331"/>
      <c r="M9" s="331"/>
      <c r="N9" s="331"/>
      <c r="O9" s="331"/>
      <c r="P9" s="333"/>
      <c r="Q9" s="326"/>
      <c r="R9" s="82">
        <f>+Q8/(D8+D9+D10)*D9</f>
        <v>178785.19602718245</v>
      </c>
      <c r="S9" s="85">
        <f>+((R9/Q28)*100)</f>
        <v>1.8334976168421568</v>
      </c>
      <c r="T9" s="32">
        <f>375+9</f>
        <v>384</v>
      </c>
      <c r="U9" s="103"/>
    </row>
    <row r="10" spans="1:21" s="33" customFormat="1" x14ac:dyDescent="0.25">
      <c r="A10" s="329"/>
      <c r="B10" s="319"/>
      <c r="C10" s="11" t="s">
        <v>33</v>
      </c>
      <c r="D10" s="34">
        <v>3480</v>
      </c>
      <c r="E10" s="330"/>
      <c r="F10" s="331"/>
      <c r="G10" s="331"/>
      <c r="H10" s="331"/>
      <c r="I10" s="331"/>
      <c r="J10" s="331"/>
      <c r="K10" s="331"/>
      <c r="L10" s="331"/>
      <c r="M10" s="331"/>
      <c r="N10" s="331"/>
      <c r="O10" s="331"/>
      <c r="P10" s="333"/>
      <c r="Q10" s="326"/>
      <c r="R10" s="82">
        <f>+Q8/(D8+D9+D10)*D10</f>
        <v>148136.30527966545</v>
      </c>
      <c r="S10" s="85">
        <f>+((R10/Q28)*100)</f>
        <v>1.5191837396692154</v>
      </c>
      <c r="T10" s="32">
        <v>306</v>
      </c>
      <c r="U10" s="103"/>
    </row>
    <row r="11" spans="1:21" s="33" customFormat="1" x14ac:dyDescent="0.25">
      <c r="A11" s="38">
        <v>3</v>
      </c>
      <c r="B11" s="319"/>
      <c r="C11" s="11" t="s">
        <v>34</v>
      </c>
      <c r="D11" s="39">
        <v>720</v>
      </c>
      <c r="E11" s="67">
        <v>14243</v>
      </c>
      <c r="F11" s="68">
        <v>21759</v>
      </c>
      <c r="G11" s="68">
        <v>27314</v>
      </c>
      <c r="H11" s="68">
        <v>35842</v>
      </c>
      <c r="I11" s="68">
        <v>36711</v>
      </c>
      <c r="J11" s="68">
        <v>29984</v>
      </c>
      <c r="K11" s="68">
        <v>25181</v>
      </c>
      <c r="L11" s="68">
        <v>28230</v>
      </c>
      <c r="M11" s="68">
        <v>11356</v>
      </c>
      <c r="N11" s="68">
        <v>4959</v>
      </c>
      <c r="O11" s="68">
        <v>2473</v>
      </c>
      <c r="P11" s="69">
        <v>6554</v>
      </c>
      <c r="Q11" s="70">
        <f>SUM(E11:P11)</f>
        <v>244606</v>
      </c>
      <c r="R11" s="82">
        <f>+Q11</f>
        <v>244606</v>
      </c>
      <c r="S11" s="85">
        <f>+((R11/Q28)*100)</f>
        <v>2.5085103690414341</v>
      </c>
      <c r="T11" s="32">
        <v>15</v>
      </c>
      <c r="U11" s="103"/>
    </row>
    <row r="12" spans="1:21" s="33" customFormat="1" x14ac:dyDescent="0.25">
      <c r="A12" s="38">
        <v>4</v>
      </c>
      <c r="B12" s="319"/>
      <c r="C12" s="11" t="s">
        <v>35</v>
      </c>
      <c r="D12" s="39"/>
      <c r="E12" s="67">
        <v>48343</v>
      </c>
      <c r="F12" s="68">
        <v>55302</v>
      </c>
      <c r="G12" s="68">
        <v>53606</v>
      </c>
      <c r="H12" s="68">
        <v>53445</v>
      </c>
      <c r="I12" s="68">
        <v>40934</v>
      </c>
      <c r="J12" s="68">
        <v>29064</v>
      </c>
      <c r="K12" s="68">
        <v>34725</v>
      </c>
      <c r="L12" s="68">
        <v>55159</v>
      </c>
      <c r="M12" s="68">
        <v>26493</v>
      </c>
      <c r="N12" s="68">
        <v>16219</v>
      </c>
      <c r="O12" s="68">
        <v>17920</v>
      </c>
      <c r="P12" s="69">
        <v>29156</v>
      </c>
      <c r="Q12" s="70">
        <f>SUM(E12:P12)</f>
        <v>460366</v>
      </c>
      <c r="R12" s="82">
        <f>+Q12</f>
        <v>460366</v>
      </c>
      <c r="S12" s="85">
        <f>+((R12/Q28)*100)</f>
        <v>4.7211960645042597</v>
      </c>
      <c r="T12" s="32"/>
      <c r="U12" s="103"/>
    </row>
    <row r="13" spans="1:21" s="33" customFormat="1" ht="30" x14ac:dyDescent="0.25">
      <c r="A13" s="38">
        <v>5</v>
      </c>
      <c r="B13" s="319"/>
      <c r="C13" s="10" t="s">
        <v>36</v>
      </c>
      <c r="D13" s="34">
        <v>11250</v>
      </c>
      <c r="E13" s="67">
        <v>56723</v>
      </c>
      <c r="F13" s="68">
        <v>98835</v>
      </c>
      <c r="G13" s="68">
        <v>175291</v>
      </c>
      <c r="H13" s="68">
        <v>246354</v>
      </c>
      <c r="I13" s="68">
        <v>244984</v>
      </c>
      <c r="J13" s="68">
        <v>149073</v>
      </c>
      <c r="K13" s="68">
        <v>157958</v>
      </c>
      <c r="L13" s="68">
        <v>74585</v>
      </c>
      <c r="M13" s="68">
        <v>48021</v>
      </c>
      <c r="N13" s="68">
        <v>26939</v>
      </c>
      <c r="O13" s="68">
        <v>26261</v>
      </c>
      <c r="P13" s="69">
        <v>37314</v>
      </c>
      <c r="Q13" s="70">
        <f>SUM(E13:P13)</f>
        <v>1342338</v>
      </c>
      <c r="R13" s="82">
        <f>+Q13</f>
        <v>1342338</v>
      </c>
      <c r="S13" s="85">
        <f>+((R13/Q28)*100)</f>
        <v>13.766092376140982</v>
      </c>
      <c r="T13" s="32">
        <v>625</v>
      </c>
      <c r="U13" s="103"/>
    </row>
    <row r="14" spans="1:21" s="33" customFormat="1" ht="30" x14ac:dyDescent="0.25">
      <c r="A14" s="37">
        <v>6</v>
      </c>
      <c r="B14" s="319"/>
      <c r="C14" s="10" t="s">
        <v>37</v>
      </c>
      <c r="D14" s="34"/>
      <c r="E14" s="67">
        <v>3990</v>
      </c>
      <c r="F14" s="68">
        <v>4962</v>
      </c>
      <c r="G14" s="68">
        <v>4807</v>
      </c>
      <c r="H14" s="68">
        <v>5169</v>
      </c>
      <c r="I14" s="68">
        <v>2848</v>
      </c>
      <c r="J14" s="68">
        <v>1626</v>
      </c>
      <c r="K14" s="68">
        <v>2739</v>
      </c>
      <c r="L14" s="68">
        <v>5297</v>
      </c>
      <c r="M14" s="68">
        <v>1918</v>
      </c>
      <c r="N14" s="68">
        <v>1314</v>
      </c>
      <c r="O14" s="68">
        <v>1480</v>
      </c>
      <c r="P14" s="69">
        <v>2063</v>
      </c>
      <c r="Q14" s="70">
        <f>SUM(E14:P14)</f>
        <v>38213</v>
      </c>
      <c r="R14" s="82">
        <f>+Q14</f>
        <v>38213</v>
      </c>
      <c r="S14" s="85">
        <f>+((R14/Q28)*100)</f>
        <v>0.39188616277679339</v>
      </c>
      <c r="T14" s="32">
        <v>34</v>
      </c>
      <c r="U14" s="103"/>
    </row>
    <row r="15" spans="1:21" s="33" customFormat="1" ht="30" x14ac:dyDescent="0.25">
      <c r="A15" s="332">
        <v>7</v>
      </c>
      <c r="B15" s="319"/>
      <c r="C15" s="10" t="s">
        <v>38</v>
      </c>
      <c r="D15" s="34">
        <v>7700</v>
      </c>
      <c r="E15" s="330">
        <v>150711</v>
      </c>
      <c r="F15" s="331">
        <v>233448</v>
      </c>
      <c r="G15" s="331">
        <v>331966</v>
      </c>
      <c r="H15" s="331">
        <v>359218</v>
      </c>
      <c r="I15" s="331">
        <v>316476</v>
      </c>
      <c r="J15" s="331">
        <v>238501</v>
      </c>
      <c r="K15" s="331">
        <v>221222</v>
      </c>
      <c r="L15" s="331">
        <v>157131</v>
      </c>
      <c r="M15" s="331">
        <v>51079</v>
      </c>
      <c r="N15" s="331">
        <v>14019</v>
      </c>
      <c r="O15" s="331">
        <v>11556</v>
      </c>
      <c r="P15" s="333">
        <v>0</v>
      </c>
      <c r="Q15" s="334">
        <f>SUM(E15:P16)</f>
        <v>2085327</v>
      </c>
      <c r="R15" s="82">
        <f>+Q15/(D15+D16)*D15</f>
        <v>1436227.0035778177</v>
      </c>
      <c r="S15" s="85">
        <f>+((R15/Q28)*100)</f>
        <v>14.728953217714466</v>
      </c>
      <c r="T15" s="32">
        <f>494+527+48+28</f>
        <v>1097</v>
      </c>
      <c r="U15" s="103"/>
    </row>
    <row r="16" spans="1:21" s="33" customFormat="1" x14ac:dyDescent="0.25">
      <c r="A16" s="317"/>
      <c r="B16" s="319"/>
      <c r="C16" s="10" t="s">
        <v>39</v>
      </c>
      <c r="D16" s="34">
        <v>3480</v>
      </c>
      <c r="E16" s="330"/>
      <c r="F16" s="331"/>
      <c r="G16" s="331"/>
      <c r="H16" s="331"/>
      <c r="I16" s="331"/>
      <c r="J16" s="331"/>
      <c r="K16" s="331"/>
      <c r="L16" s="331"/>
      <c r="M16" s="331"/>
      <c r="N16" s="331"/>
      <c r="O16" s="331"/>
      <c r="P16" s="333"/>
      <c r="Q16" s="334"/>
      <c r="R16" s="82">
        <f>+Q15/(D15+D16)*D16</f>
        <v>649099.99642218254</v>
      </c>
      <c r="S16" s="85">
        <f>+((R16/Q28)*100)</f>
        <v>6.656721713980045</v>
      </c>
      <c r="T16" s="32">
        <v>319</v>
      </c>
      <c r="U16" s="103"/>
    </row>
    <row r="17" spans="1:21" s="33" customFormat="1" x14ac:dyDescent="0.25">
      <c r="A17" s="38">
        <v>8</v>
      </c>
      <c r="B17" s="319"/>
      <c r="C17" s="11" t="s">
        <v>40</v>
      </c>
      <c r="D17" s="39">
        <v>1207</v>
      </c>
      <c r="E17" s="67">
        <v>22537</v>
      </c>
      <c r="F17" s="68">
        <v>11994</v>
      </c>
      <c r="G17" s="68">
        <v>16644</v>
      </c>
      <c r="H17" s="68">
        <v>12541</v>
      </c>
      <c r="I17" s="68">
        <v>12595</v>
      </c>
      <c r="J17" s="68">
        <v>1443</v>
      </c>
      <c r="K17" s="68">
        <v>10131</v>
      </c>
      <c r="L17" s="68">
        <v>15505</v>
      </c>
      <c r="M17" s="68">
        <v>5848</v>
      </c>
      <c r="N17" s="68">
        <v>5718</v>
      </c>
      <c r="O17" s="68">
        <v>5987</v>
      </c>
      <c r="P17" s="69">
        <v>6986</v>
      </c>
      <c r="Q17" s="70">
        <f>SUM(E17:P17)</f>
        <v>127929</v>
      </c>
      <c r="R17" s="82">
        <f>+Q17</f>
        <v>127929</v>
      </c>
      <c r="S17" s="85">
        <f>+((R17/Q28)*100)</f>
        <v>1.3119515588378929</v>
      </c>
      <c r="T17" s="32">
        <f>168+6</f>
        <v>174</v>
      </c>
      <c r="U17" s="103"/>
    </row>
    <row r="18" spans="1:21" s="33" customFormat="1" x14ac:dyDescent="0.25">
      <c r="A18" s="29">
        <v>9</v>
      </c>
      <c r="B18" s="319"/>
      <c r="C18" s="11" t="s">
        <v>41</v>
      </c>
      <c r="D18" s="39">
        <v>214</v>
      </c>
      <c r="E18" s="67">
        <v>0</v>
      </c>
      <c r="F18" s="68">
        <v>0</v>
      </c>
      <c r="G18" s="68">
        <v>0</v>
      </c>
      <c r="H18" s="68">
        <v>0</v>
      </c>
      <c r="I18" s="68">
        <v>0</v>
      </c>
      <c r="J18" s="68">
        <v>0</v>
      </c>
      <c r="K18" s="68">
        <v>0</v>
      </c>
      <c r="L18" s="68">
        <v>0</v>
      </c>
      <c r="M18" s="68">
        <v>0</v>
      </c>
      <c r="N18" s="68">
        <v>0</v>
      </c>
      <c r="O18" s="68">
        <v>0</v>
      </c>
      <c r="P18" s="69">
        <v>0</v>
      </c>
      <c r="Q18" s="70">
        <f>SUM(E18:P18)</f>
        <v>0</v>
      </c>
      <c r="R18" s="82">
        <f>+Q18</f>
        <v>0</v>
      </c>
      <c r="S18" s="85">
        <f>+((R18/Q28)*100)</f>
        <v>0</v>
      </c>
      <c r="T18" s="32"/>
      <c r="U18" s="103"/>
    </row>
    <row r="19" spans="1:21" s="33" customFormat="1" x14ac:dyDescent="0.25">
      <c r="A19" s="332">
        <v>10</v>
      </c>
      <c r="B19" s="319"/>
      <c r="C19" s="10" t="s">
        <v>42</v>
      </c>
      <c r="D19" s="34">
        <v>12000</v>
      </c>
      <c r="E19" s="330">
        <v>156404</v>
      </c>
      <c r="F19" s="331">
        <v>274386</v>
      </c>
      <c r="G19" s="331">
        <v>634949</v>
      </c>
      <c r="H19" s="331">
        <v>495414</v>
      </c>
      <c r="I19" s="331">
        <v>537252</v>
      </c>
      <c r="J19" s="331">
        <v>370912</v>
      </c>
      <c r="K19" s="331">
        <v>325701</v>
      </c>
      <c r="L19" s="331">
        <v>201356</v>
      </c>
      <c r="M19" s="331">
        <v>43588</v>
      </c>
      <c r="N19" s="331">
        <v>38944</v>
      </c>
      <c r="O19" s="331">
        <v>39571</v>
      </c>
      <c r="P19" s="333">
        <v>40896</v>
      </c>
      <c r="Q19" s="334">
        <f>SUM(E19:P22)</f>
        <v>3159373</v>
      </c>
      <c r="R19" s="97">
        <f>+Q19/(D19+D20+D21+D22)*D19</f>
        <v>1493793.3806146572</v>
      </c>
      <c r="S19" s="85">
        <f>+((R19/Q28)*100)</f>
        <v>15.319314262435613</v>
      </c>
      <c r="T19" s="32">
        <f>100+105+4</f>
        <v>209</v>
      </c>
      <c r="U19" s="103"/>
    </row>
    <row r="20" spans="1:21" s="33" customFormat="1" ht="30.95" customHeight="1" x14ac:dyDescent="0.25">
      <c r="A20" s="316"/>
      <c r="B20" s="319"/>
      <c r="C20" s="10" t="s">
        <v>43</v>
      </c>
      <c r="D20" s="34">
        <v>3400</v>
      </c>
      <c r="E20" s="330"/>
      <c r="F20" s="331"/>
      <c r="G20" s="331"/>
      <c r="H20" s="331"/>
      <c r="I20" s="331"/>
      <c r="J20" s="331"/>
      <c r="K20" s="331"/>
      <c r="L20" s="331"/>
      <c r="M20" s="331"/>
      <c r="N20" s="331"/>
      <c r="O20" s="331"/>
      <c r="P20" s="333"/>
      <c r="Q20" s="334"/>
      <c r="R20" s="97">
        <f>+Q19/(D19+D20+D21+D22)*D20</f>
        <v>423241.45784081955</v>
      </c>
      <c r="S20" s="85">
        <f>+((R20/Q28)*100)</f>
        <v>4.3404723743567564</v>
      </c>
      <c r="T20" s="32">
        <v>103</v>
      </c>
      <c r="U20" s="103"/>
    </row>
    <row r="21" spans="1:21" s="33" customFormat="1" x14ac:dyDescent="0.25">
      <c r="A21" s="316"/>
      <c r="B21" s="319"/>
      <c r="C21" s="10" t="s">
        <v>44</v>
      </c>
      <c r="D21" s="34">
        <v>3480</v>
      </c>
      <c r="E21" s="330"/>
      <c r="F21" s="331"/>
      <c r="G21" s="331"/>
      <c r="H21" s="331"/>
      <c r="I21" s="331"/>
      <c r="J21" s="331"/>
      <c r="K21" s="331"/>
      <c r="L21" s="331"/>
      <c r="M21" s="331"/>
      <c r="N21" s="331"/>
      <c r="O21" s="331"/>
      <c r="P21" s="333"/>
      <c r="Q21" s="334"/>
      <c r="R21" s="97">
        <f>+Q19/(D19+D20+D21+D22)*D21</f>
        <v>433200.08037825057</v>
      </c>
      <c r="S21" s="85">
        <f>+((R21/Q28)*100)</f>
        <v>4.4426011361063269</v>
      </c>
      <c r="T21" s="32">
        <v>241</v>
      </c>
      <c r="U21" s="103"/>
    </row>
    <row r="22" spans="1:21" s="33" customFormat="1" ht="15.75" thickBot="1" x14ac:dyDescent="0.3">
      <c r="A22" s="316"/>
      <c r="B22" s="320"/>
      <c r="C22" s="41" t="s">
        <v>45</v>
      </c>
      <c r="D22" s="42">
        <v>6500</v>
      </c>
      <c r="E22" s="330"/>
      <c r="F22" s="331"/>
      <c r="G22" s="331"/>
      <c r="H22" s="331"/>
      <c r="I22" s="331"/>
      <c r="J22" s="331"/>
      <c r="K22" s="331"/>
      <c r="L22" s="331"/>
      <c r="M22" s="331"/>
      <c r="N22" s="331"/>
      <c r="O22" s="331"/>
      <c r="P22" s="333"/>
      <c r="Q22" s="348"/>
      <c r="R22" s="98">
        <f>+Q19/(D19+D20+D21+D22)*D22</f>
        <v>809138.08116627263</v>
      </c>
      <c r="S22" s="91">
        <f>+((R22/Q28)*100)</f>
        <v>8.2979618921526228</v>
      </c>
      <c r="T22" s="45">
        <v>225</v>
      </c>
      <c r="U22" s="104"/>
    </row>
    <row r="23" spans="1:21" s="33" customFormat="1" ht="15.75" thickBot="1" x14ac:dyDescent="0.3">
      <c r="A23" s="352" t="s">
        <v>70</v>
      </c>
      <c r="B23" s="353"/>
      <c r="C23" s="353"/>
      <c r="D23" s="46">
        <f>SUM(D5:D22)</f>
        <v>109131</v>
      </c>
      <c r="E23" s="71">
        <f>SUM(E5:E22)</f>
        <v>481059</v>
      </c>
      <c r="F23" s="72">
        <f t="shared" ref="F23:P23" si="0">SUM(F5:F22)</f>
        <v>917939</v>
      </c>
      <c r="G23" s="72">
        <f t="shared" si="0"/>
        <v>1749835</v>
      </c>
      <c r="H23" s="72">
        <f t="shared" si="0"/>
        <v>1792764</v>
      </c>
      <c r="I23" s="72">
        <f t="shared" si="0"/>
        <v>1624625</v>
      </c>
      <c r="J23" s="72">
        <f t="shared" si="0"/>
        <v>830544</v>
      </c>
      <c r="K23" s="72">
        <f t="shared" si="0"/>
        <v>1048849</v>
      </c>
      <c r="L23" s="72">
        <f t="shared" si="0"/>
        <v>605623</v>
      </c>
      <c r="M23" s="72">
        <f t="shared" si="0"/>
        <v>190056</v>
      </c>
      <c r="N23" s="72">
        <f t="shared" si="0"/>
        <v>108207</v>
      </c>
      <c r="O23" s="72">
        <f t="shared" si="0"/>
        <v>105288</v>
      </c>
      <c r="P23" s="73">
        <f t="shared" si="0"/>
        <v>123694</v>
      </c>
      <c r="Q23" s="86">
        <f>SUM(Q5:Q22)</f>
        <v>9578483</v>
      </c>
      <c r="R23" s="87">
        <f>SUM(R5:R22)</f>
        <v>9578483</v>
      </c>
      <c r="S23" s="96">
        <f>SUM(S5:S22)</f>
        <v>98.230312932581811</v>
      </c>
      <c r="T23" s="49">
        <f>SUM(T5:T22)</f>
        <v>12080</v>
      </c>
      <c r="U23" s="50">
        <f>SUM(U5:U22)</f>
        <v>0</v>
      </c>
    </row>
    <row r="24" spans="1:21" s="33" customFormat="1" x14ac:dyDescent="0.25">
      <c r="A24" s="317">
        <v>1</v>
      </c>
      <c r="B24" s="355" t="s">
        <v>46</v>
      </c>
      <c r="C24" s="12" t="s">
        <v>47</v>
      </c>
      <c r="D24" s="357">
        <v>3350</v>
      </c>
      <c r="E24" s="330">
        <v>0</v>
      </c>
      <c r="F24" s="331">
        <v>0</v>
      </c>
      <c r="G24" s="331">
        <v>29739</v>
      </c>
      <c r="H24" s="331">
        <v>38158</v>
      </c>
      <c r="I24" s="331">
        <v>42348</v>
      </c>
      <c r="J24" s="331">
        <v>35644</v>
      </c>
      <c r="K24" s="331">
        <v>26660</v>
      </c>
      <c r="L24" s="331">
        <v>0</v>
      </c>
      <c r="M24" s="331">
        <v>0</v>
      </c>
      <c r="N24" s="331">
        <v>14</v>
      </c>
      <c r="O24" s="331">
        <v>0</v>
      </c>
      <c r="P24" s="333">
        <v>0</v>
      </c>
      <c r="Q24" s="347">
        <f>SUM(E24:P27)</f>
        <v>172563</v>
      </c>
      <c r="R24" s="349">
        <f>+Q24</f>
        <v>172563</v>
      </c>
      <c r="S24" s="344">
        <f>+((R24/Q28)*100)</f>
        <v>1.7696870674182033</v>
      </c>
      <c r="T24" s="335">
        <f>2124+45</f>
        <v>2169</v>
      </c>
      <c r="U24" s="105"/>
    </row>
    <row r="25" spans="1:21" s="33" customFormat="1" x14ac:dyDescent="0.25">
      <c r="A25" s="317"/>
      <c r="B25" s="356"/>
      <c r="C25" s="10" t="s">
        <v>48</v>
      </c>
      <c r="D25" s="357"/>
      <c r="E25" s="330"/>
      <c r="F25" s="331"/>
      <c r="G25" s="331"/>
      <c r="H25" s="331"/>
      <c r="I25" s="331"/>
      <c r="J25" s="331"/>
      <c r="K25" s="331"/>
      <c r="L25" s="331"/>
      <c r="M25" s="331"/>
      <c r="N25" s="331"/>
      <c r="O25" s="331"/>
      <c r="P25" s="333"/>
      <c r="Q25" s="334"/>
      <c r="R25" s="350"/>
      <c r="S25" s="345"/>
      <c r="T25" s="336"/>
      <c r="U25" s="103"/>
    </row>
    <row r="26" spans="1:21" s="33" customFormat="1" x14ac:dyDescent="0.25">
      <c r="A26" s="354"/>
      <c r="B26" s="356"/>
      <c r="C26" s="12" t="s">
        <v>49</v>
      </c>
      <c r="D26" s="358"/>
      <c r="E26" s="330"/>
      <c r="F26" s="331"/>
      <c r="G26" s="331"/>
      <c r="H26" s="331"/>
      <c r="I26" s="331"/>
      <c r="J26" s="331"/>
      <c r="K26" s="331"/>
      <c r="L26" s="331"/>
      <c r="M26" s="331"/>
      <c r="N26" s="331"/>
      <c r="O26" s="331"/>
      <c r="P26" s="333"/>
      <c r="Q26" s="334"/>
      <c r="R26" s="350"/>
      <c r="S26" s="345"/>
      <c r="T26" s="337">
        <v>29</v>
      </c>
      <c r="U26" s="103"/>
    </row>
    <row r="27" spans="1:21" s="33" customFormat="1" ht="15.75" thickBot="1" x14ac:dyDescent="0.3">
      <c r="A27" s="332"/>
      <c r="B27" s="356"/>
      <c r="C27" s="41" t="s">
        <v>50</v>
      </c>
      <c r="D27" s="359"/>
      <c r="E27" s="330"/>
      <c r="F27" s="331"/>
      <c r="G27" s="331"/>
      <c r="H27" s="331"/>
      <c r="I27" s="331"/>
      <c r="J27" s="331"/>
      <c r="K27" s="331"/>
      <c r="L27" s="331"/>
      <c r="M27" s="331"/>
      <c r="N27" s="331"/>
      <c r="O27" s="331"/>
      <c r="P27" s="333"/>
      <c r="Q27" s="348"/>
      <c r="R27" s="351"/>
      <c r="S27" s="346"/>
      <c r="T27" s="338"/>
      <c r="U27" s="104"/>
    </row>
    <row r="28" spans="1:21" s="33" customFormat="1" ht="15.75" thickBot="1" x14ac:dyDescent="0.3">
      <c r="A28" s="339" t="s">
        <v>70</v>
      </c>
      <c r="B28" s="340"/>
      <c r="C28" s="340"/>
      <c r="D28" s="53">
        <f>SUM(D23:D27)-D11</f>
        <v>111761</v>
      </c>
      <c r="E28" s="74">
        <f>SUM(E23:E27)</f>
        <v>481059</v>
      </c>
      <c r="F28" s="75">
        <f t="shared" ref="F28:P28" si="1">SUM(F23:F27)</f>
        <v>917939</v>
      </c>
      <c r="G28" s="75">
        <f t="shared" si="1"/>
        <v>1779574</v>
      </c>
      <c r="H28" s="75">
        <f t="shared" si="1"/>
        <v>1830922</v>
      </c>
      <c r="I28" s="75">
        <f t="shared" si="1"/>
        <v>1666973</v>
      </c>
      <c r="J28" s="75">
        <f t="shared" si="1"/>
        <v>866188</v>
      </c>
      <c r="K28" s="75">
        <f t="shared" si="1"/>
        <v>1075509</v>
      </c>
      <c r="L28" s="75">
        <f t="shared" si="1"/>
        <v>605623</v>
      </c>
      <c r="M28" s="75">
        <f t="shared" si="1"/>
        <v>190056</v>
      </c>
      <c r="N28" s="75">
        <f t="shared" si="1"/>
        <v>108221</v>
      </c>
      <c r="O28" s="75">
        <f t="shared" si="1"/>
        <v>105288</v>
      </c>
      <c r="P28" s="76">
        <f t="shared" si="1"/>
        <v>123694</v>
      </c>
      <c r="Q28" s="86">
        <f>SUM(Q23:Q27)</f>
        <v>9751046</v>
      </c>
      <c r="R28" s="87">
        <f>SUM(R23:R27)</f>
        <v>9751046</v>
      </c>
      <c r="S28" s="88">
        <f>+S24+S23</f>
        <v>100.00000000000001</v>
      </c>
      <c r="T28" s="56">
        <f>SUM(T23:T27)</f>
        <v>14278</v>
      </c>
      <c r="U28" s="57">
        <f>SUM(U23:U27)</f>
        <v>0</v>
      </c>
    </row>
  </sheetData>
  <mergeCells count="87">
    <mergeCell ref="A28:C28"/>
    <mergeCell ref="Q3:S3"/>
    <mergeCell ref="S24:S27"/>
    <mergeCell ref="N24:N27"/>
    <mergeCell ref="O24:O27"/>
    <mergeCell ref="P24:P27"/>
    <mergeCell ref="Q24:Q27"/>
    <mergeCell ref="R24:R27"/>
    <mergeCell ref="O19:O22"/>
    <mergeCell ref="P19:P22"/>
    <mergeCell ref="Q19:Q22"/>
    <mergeCell ref="A23:C23"/>
    <mergeCell ref="A24:A27"/>
    <mergeCell ref="B24:B27"/>
    <mergeCell ref="D24:D27"/>
    <mergeCell ref="E24:E27"/>
    <mergeCell ref="T24:T25"/>
    <mergeCell ref="T26:T27"/>
    <mergeCell ref="H24:H27"/>
    <mergeCell ref="I24:I27"/>
    <mergeCell ref="J24:J27"/>
    <mergeCell ref="K24:K27"/>
    <mergeCell ref="L24:L27"/>
    <mergeCell ref="M24:M27"/>
    <mergeCell ref="F24:F27"/>
    <mergeCell ref="G24:G27"/>
    <mergeCell ref="I19:I22"/>
    <mergeCell ref="J19:J22"/>
    <mergeCell ref="K19:K22"/>
    <mergeCell ref="Q15:Q16"/>
    <mergeCell ref="A19:A22"/>
    <mergeCell ref="E19:E22"/>
    <mergeCell ref="F19:F22"/>
    <mergeCell ref="G19:G22"/>
    <mergeCell ref="H19:H22"/>
    <mergeCell ref="L19:L22"/>
    <mergeCell ref="M19:M22"/>
    <mergeCell ref="N19:N22"/>
    <mergeCell ref="M15:M16"/>
    <mergeCell ref="N15:N16"/>
    <mergeCell ref="N8:N10"/>
    <mergeCell ref="O8:O10"/>
    <mergeCell ref="P8:P10"/>
    <mergeCell ref="O15:O16"/>
    <mergeCell ref="P15:P16"/>
    <mergeCell ref="L5:L7"/>
    <mergeCell ref="M5:M7"/>
    <mergeCell ref="N5:N7"/>
    <mergeCell ref="Q8:Q10"/>
    <mergeCell ref="A15:A16"/>
    <mergeCell ref="E15:E16"/>
    <mergeCell ref="F15:F16"/>
    <mergeCell ref="G15:G16"/>
    <mergeCell ref="H15:H16"/>
    <mergeCell ref="I15:I16"/>
    <mergeCell ref="J15:J16"/>
    <mergeCell ref="K15:K16"/>
    <mergeCell ref="L15:L16"/>
    <mergeCell ref="K8:K10"/>
    <mergeCell ref="L8:L10"/>
    <mergeCell ref="M8:M10"/>
    <mergeCell ref="I8:I10"/>
    <mergeCell ref="J8:J10"/>
    <mergeCell ref="I5:I7"/>
    <mergeCell ref="J5:J7"/>
    <mergeCell ref="K5:K7"/>
    <mergeCell ref="A8:A10"/>
    <mergeCell ref="E8:E10"/>
    <mergeCell ref="F8:F10"/>
    <mergeCell ref="G8:G10"/>
    <mergeCell ref="H8:H10"/>
    <mergeCell ref="H5:H7"/>
    <mergeCell ref="A2:U2"/>
    <mergeCell ref="A3:A4"/>
    <mergeCell ref="B3:B4"/>
    <mergeCell ref="C3:C4"/>
    <mergeCell ref="D3:D4"/>
    <mergeCell ref="E3:P3"/>
    <mergeCell ref="T3:U3"/>
    <mergeCell ref="A5:A7"/>
    <mergeCell ref="B5:B22"/>
    <mergeCell ref="E5:E7"/>
    <mergeCell ref="F5:F7"/>
    <mergeCell ref="G5:G7"/>
    <mergeCell ref="O5:O7"/>
    <mergeCell ref="P5:P7"/>
    <mergeCell ref="Q5:Q7"/>
  </mergeCell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X29"/>
  <sheetViews>
    <sheetView zoomScaleNormal="100" workbookViewId="0">
      <selection activeCell="D5" sqref="D5"/>
    </sheetView>
  </sheetViews>
  <sheetFormatPr defaultColWidth="8.875" defaultRowHeight="15" x14ac:dyDescent="0.25"/>
  <cols>
    <col min="1" max="1" width="8.875" style="23"/>
    <col min="2" max="2" width="8.125" style="23" customWidth="1"/>
    <col min="3" max="3" width="37.125" style="22" customWidth="1"/>
    <col min="4" max="4" width="9.625" style="58" bestFit="1" customWidth="1"/>
    <col min="5" max="5" width="14.875" style="58" customWidth="1"/>
    <col min="6" max="11" width="12.5" style="58" bestFit="1" customWidth="1"/>
    <col min="12" max="12" width="15.5" style="58" bestFit="1" customWidth="1"/>
    <col min="13" max="16" width="12.5" style="58" bestFit="1" customWidth="1"/>
    <col min="17" max="18" width="12.625" style="58" bestFit="1" customWidth="1"/>
    <col min="19" max="19" width="15.125" style="58" customWidth="1"/>
    <col min="20" max="20" width="12" style="58" customWidth="1"/>
    <col min="21" max="21" width="12.5" style="58" bestFit="1" customWidth="1"/>
    <col min="22" max="16384" width="8.875" style="22"/>
  </cols>
  <sheetData>
    <row r="2" spans="1:21" ht="19.5" thickBot="1" x14ac:dyDescent="0.3">
      <c r="A2" s="303" t="s">
        <v>58</v>
      </c>
      <c r="B2" s="303"/>
      <c r="C2" s="303"/>
      <c r="D2" s="303"/>
      <c r="E2" s="304"/>
      <c r="F2" s="304"/>
      <c r="G2" s="304"/>
      <c r="H2" s="304"/>
      <c r="I2" s="304"/>
      <c r="J2" s="304"/>
      <c r="K2" s="304"/>
      <c r="L2" s="304"/>
      <c r="M2" s="304"/>
      <c r="N2" s="304"/>
      <c r="O2" s="304"/>
      <c r="P2" s="304"/>
      <c r="Q2" s="304"/>
      <c r="R2" s="304"/>
      <c r="S2" s="304"/>
      <c r="T2" s="303"/>
      <c r="U2" s="303"/>
    </row>
    <row r="3" spans="1:21" s="23" customFormat="1" ht="15.95" customHeight="1" thickBot="1" x14ac:dyDescent="0.3">
      <c r="A3" s="305" t="s">
        <v>59</v>
      </c>
      <c r="B3" s="307" t="s">
        <v>60</v>
      </c>
      <c r="C3" s="307" t="s">
        <v>61</v>
      </c>
      <c r="D3" s="360" t="s">
        <v>62</v>
      </c>
      <c r="E3" s="362" t="s">
        <v>63</v>
      </c>
      <c r="F3" s="363"/>
      <c r="G3" s="363"/>
      <c r="H3" s="363"/>
      <c r="I3" s="363"/>
      <c r="J3" s="363"/>
      <c r="K3" s="363"/>
      <c r="L3" s="363"/>
      <c r="M3" s="363"/>
      <c r="N3" s="363"/>
      <c r="O3" s="363"/>
      <c r="P3" s="363"/>
      <c r="Q3" s="341" t="s">
        <v>64</v>
      </c>
      <c r="R3" s="342"/>
      <c r="S3" s="343"/>
      <c r="T3" s="364" t="s">
        <v>65</v>
      </c>
      <c r="U3" s="360"/>
    </row>
    <row r="4" spans="1:21" s="23" customFormat="1" ht="30.75" thickBot="1" x14ac:dyDescent="0.3">
      <c r="A4" s="306"/>
      <c r="B4" s="308"/>
      <c r="C4" s="308"/>
      <c r="D4" s="361"/>
      <c r="E4" s="24">
        <v>44835</v>
      </c>
      <c r="F4" s="25">
        <v>44866</v>
      </c>
      <c r="G4" s="25">
        <v>44896</v>
      </c>
      <c r="H4" s="25">
        <v>44927</v>
      </c>
      <c r="I4" s="25">
        <v>44958</v>
      </c>
      <c r="J4" s="25">
        <v>44986</v>
      </c>
      <c r="K4" s="25">
        <v>45017</v>
      </c>
      <c r="L4" s="25">
        <v>45047</v>
      </c>
      <c r="M4" s="25">
        <v>45078</v>
      </c>
      <c r="N4" s="25">
        <v>45108</v>
      </c>
      <c r="O4" s="25">
        <v>45139</v>
      </c>
      <c r="P4" s="77">
        <v>45170</v>
      </c>
      <c r="Q4" s="83" t="s">
        <v>66</v>
      </c>
      <c r="R4" s="78" t="s">
        <v>67</v>
      </c>
      <c r="S4" s="84" t="s">
        <v>72</v>
      </c>
      <c r="T4" s="27" t="s">
        <v>68</v>
      </c>
      <c r="U4" s="28" t="s">
        <v>69</v>
      </c>
    </row>
    <row r="5" spans="1:21" s="33" customFormat="1" x14ac:dyDescent="0.25">
      <c r="A5" s="316">
        <v>1</v>
      </c>
      <c r="B5" s="318" t="s">
        <v>27</v>
      </c>
      <c r="C5" s="30" t="s">
        <v>28</v>
      </c>
      <c r="D5" s="31">
        <v>10750</v>
      </c>
      <c r="E5" s="365">
        <v>435621</v>
      </c>
      <c r="F5" s="367">
        <v>439471</v>
      </c>
      <c r="G5" s="367">
        <v>506591</v>
      </c>
      <c r="H5" s="367">
        <v>424566</v>
      </c>
      <c r="I5" s="367">
        <v>359738</v>
      </c>
      <c r="J5" s="367">
        <v>291097</v>
      </c>
      <c r="K5" s="367">
        <v>313288</v>
      </c>
      <c r="L5" s="367">
        <v>302703</v>
      </c>
      <c r="M5" s="367">
        <v>197188</v>
      </c>
      <c r="N5" s="367">
        <v>257770</v>
      </c>
      <c r="O5" s="367">
        <v>341384</v>
      </c>
      <c r="P5" s="369">
        <v>269307</v>
      </c>
      <c r="Q5" s="326">
        <f>SUM(E5:P22)</f>
        <v>4138724</v>
      </c>
      <c r="R5" s="82">
        <f>+Q5/(109131)*D5</f>
        <v>407686.93588439579</v>
      </c>
      <c r="S5" s="85">
        <f>+((R5/((Q5+Q28))*100))</f>
        <v>9.0680079211241704</v>
      </c>
      <c r="T5" s="32">
        <f>1026+107+12</f>
        <v>1145</v>
      </c>
      <c r="U5" s="103"/>
    </row>
    <row r="6" spans="1:21" s="33" customFormat="1" ht="30" x14ac:dyDescent="0.25">
      <c r="A6" s="316"/>
      <c r="B6" s="319"/>
      <c r="C6" s="10" t="s">
        <v>29</v>
      </c>
      <c r="D6" s="34">
        <v>11800</v>
      </c>
      <c r="E6" s="32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24"/>
      <c r="Q6" s="326"/>
      <c r="R6" s="82">
        <f>+Q5/(109131)*D6</f>
        <v>447507.52031961584</v>
      </c>
      <c r="S6" s="85">
        <f>+((R6/(Q5+Q28))*100)</f>
        <v>9.9537203227223454</v>
      </c>
      <c r="T6" s="32">
        <f>555+497+1201+72+70+105+2</f>
        <v>2502</v>
      </c>
      <c r="U6" s="103"/>
    </row>
    <row r="7" spans="1:21" s="33" customFormat="1" ht="30" x14ac:dyDescent="0.25">
      <c r="A7" s="317"/>
      <c r="B7" s="319"/>
      <c r="C7" s="10" t="s">
        <v>30</v>
      </c>
      <c r="D7" s="34">
        <v>17500</v>
      </c>
      <c r="E7" s="32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24"/>
      <c r="Q7" s="326"/>
      <c r="R7" s="82">
        <f>+Q5/(109131)*D7</f>
        <v>663676.4072536676</v>
      </c>
      <c r="S7" s="85">
        <f>+((R7/(Q5+Q28))*100)</f>
        <v>14.761873359969583</v>
      </c>
      <c r="T7" s="32">
        <f>930+713+681+1094+1+120+68+75+58</f>
        <v>3740</v>
      </c>
      <c r="U7" s="103"/>
    </row>
    <row r="8" spans="1:21" s="33" customFormat="1" ht="30" x14ac:dyDescent="0.25">
      <c r="A8" s="327">
        <v>2</v>
      </c>
      <c r="B8" s="319"/>
      <c r="C8" s="10" t="s">
        <v>31</v>
      </c>
      <c r="D8" s="34">
        <v>11450</v>
      </c>
      <c r="E8" s="32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24"/>
      <c r="Q8" s="326"/>
      <c r="R8" s="82">
        <f>+Q5/(109131)*D8</f>
        <v>434233.99217454251</v>
      </c>
      <c r="S8" s="85">
        <f>+((R8/(Q5+Q28))*100)</f>
        <v>9.6584828555229549</v>
      </c>
      <c r="T8" s="32">
        <f>469+396+12+45+39</f>
        <v>961</v>
      </c>
      <c r="U8" s="103"/>
    </row>
    <row r="9" spans="1:21" s="33" customFormat="1" ht="15.95" customHeight="1" x14ac:dyDescent="0.25">
      <c r="A9" s="328"/>
      <c r="B9" s="319"/>
      <c r="C9" s="11" t="s">
        <v>32</v>
      </c>
      <c r="D9" s="34">
        <v>4200</v>
      </c>
      <c r="E9" s="322"/>
      <c r="F9" s="302"/>
      <c r="G9" s="302"/>
      <c r="H9" s="302"/>
      <c r="I9" s="302"/>
      <c r="J9" s="302"/>
      <c r="K9" s="302"/>
      <c r="L9" s="302"/>
      <c r="M9" s="302"/>
      <c r="N9" s="302"/>
      <c r="O9" s="302"/>
      <c r="P9" s="324"/>
      <c r="Q9" s="326"/>
      <c r="R9" s="82">
        <f>+Q5/(109131)*D9</f>
        <v>159282.3377408802</v>
      </c>
      <c r="S9" s="85">
        <f>+((R9/(Q5+Q28))*100)</f>
        <v>3.5428496063926991</v>
      </c>
      <c r="T9" s="32">
        <f>375+9</f>
        <v>384</v>
      </c>
      <c r="U9" s="103"/>
    </row>
    <row r="10" spans="1:21" s="33" customFormat="1" ht="15.95" customHeight="1" x14ac:dyDescent="0.25">
      <c r="A10" s="329"/>
      <c r="B10" s="319"/>
      <c r="C10" s="11" t="s">
        <v>33</v>
      </c>
      <c r="D10" s="34">
        <v>3480</v>
      </c>
      <c r="E10" s="32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24"/>
      <c r="Q10" s="326"/>
      <c r="R10" s="82">
        <f>+Q5/(109131)*D10</f>
        <v>131976.7941281579</v>
      </c>
      <c r="S10" s="85">
        <f>+((R10/(Q5+Q28))*100)</f>
        <v>2.9355039595825221</v>
      </c>
      <c r="T10" s="32">
        <v>306</v>
      </c>
      <c r="U10" s="103"/>
    </row>
    <row r="11" spans="1:21" s="33" customFormat="1" ht="15.95" customHeight="1" x14ac:dyDescent="0.25">
      <c r="A11" s="38">
        <v>3</v>
      </c>
      <c r="B11" s="319"/>
      <c r="C11" s="11" t="s">
        <v>34</v>
      </c>
      <c r="D11" s="39">
        <v>720</v>
      </c>
      <c r="E11" s="322"/>
      <c r="F11" s="302"/>
      <c r="G11" s="302"/>
      <c r="H11" s="302"/>
      <c r="I11" s="302"/>
      <c r="J11" s="302"/>
      <c r="K11" s="302"/>
      <c r="L11" s="302"/>
      <c r="M11" s="302"/>
      <c r="N11" s="302"/>
      <c r="O11" s="302"/>
      <c r="P11" s="324"/>
      <c r="Q11" s="326"/>
      <c r="R11" s="82">
        <f>+Q5/(109131)*D11</f>
        <v>27305.543612722322</v>
      </c>
      <c r="S11" s="85">
        <f>+((R11/(Q5+Q28))*100)</f>
        <v>0.607345646810177</v>
      </c>
      <c r="T11" s="32">
        <v>15</v>
      </c>
      <c r="U11" s="103"/>
    </row>
    <row r="12" spans="1:21" s="33" customFormat="1" ht="15.95" customHeight="1" x14ac:dyDescent="0.25">
      <c r="A12" s="38">
        <v>4</v>
      </c>
      <c r="B12" s="319"/>
      <c r="C12" s="11" t="s">
        <v>35</v>
      </c>
      <c r="D12" s="39"/>
      <c r="E12" s="32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24"/>
      <c r="Q12" s="326"/>
      <c r="R12" s="82">
        <f>+Q5/(109131)*D12</f>
        <v>0</v>
      </c>
      <c r="S12" s="85">
        <f>+((R12/(Q5+Q28))*100)</f>
        <v>0</v>
      </c>
      <c r="T12" s="32"/>
      <c r="U12" s="103"/>
    </row>
    <row r="13" spans="1:21" s="33" customFormat="1" ht="30" x14ac:dyDescent="0.25">
      <c r="A13" s="38">
        <v>5</v>
      </c>
      <c r="B13" s="319"/>
      <c r="C13" s="10" t="s">
        <v>36</v>
      </c>
      <c r="D13" s="34">
        <v>11250</v>
      </c>
      <c r="E13" s="322"/>
      <c r="F13" s="302"/>
      <c r="G13" s="302"/>
      <c r="H13" s="302"/>
      <c r="I13" s="302"/>
      <c r="J13" s="302"/>
      <c r="K13" s="302"/>
      <c r="L13" s="302"/>
      <c r="M13" s="302"/>
      <c r="N13" s="302"/>
      <c r="O13" s="302"/>
      <c r="P13" s="324"/>
      <c r="Q13" s="326"/>
      <c r="R13" s="82">
        <f>+Q5/(109131)*D13</f>
        <v>426649.11894878629</v>
      </c>
      <c r="S13" s="85">
        <f>+((R13/(Q5+Q28))*100)</f>
        <v>9.489775731409015</v>
      </c>
      <c r="T13" s="32">
        <v>625</v>
      </c>
      <c r="U13" s="103"/>
    </row>
    <row r="14" spans="1:21" s="33" customFormat="1" ht="30" x14ac:dyDescent="0.25">
      <c r="A14" s="37">
        <v>6</v>
      </c>
      <c r="B14" s="319"/>
      <c r="C14" s="10" t="s">
        <v>37</v>
      </c>
      <c r="D14" s="34"/>
      <c r="E14" s="322"/>
      <c r="F14" s="302"/>
      <c r="G14" s="302"/>
      <c r="H14" s="302"/>
      <c r="I14" s="302"/>
      <c r="J14" s="302"/>
      <c r="K14" s="302"/>
      <c r="L14" s="302"/>
      <c r="M14" s="302"/>
      <c r="N14" s="302"/>
      <c r="O14" s="302"/>
      <c r="P14" s="324"/>
      <c r="Q14" s="326"/>
      <c r="R14" s="82">
        <f>+Q5/(109131)*D14</f>
        <v>0</v>
      </c>
      <c r="S14" s="85">
        <f>+((R14/(Q5+Q28))*100)</f>
        <v>0</v>
      </c>
      <c r="T14" s="32">
        <v>34</v>
      </c>
      <c r="U14" s="103"/>
    </row>
    <row r="15" spans="1:21" s="33" customFormat="1" ht="30" x14ac:dyDescent="0.25">
      <c r="A15" s="332">
        <v>7</v>
      </c>
      <c r="B15" s="319"/>
      <c r="C15" s="10" t="s">
        <v>38</v>
      </c>
      <c r="D15" s="34">
        <v>7700</v>
      </c>
      <c r="E15" s="322"/>
      <c r="F15" s="302"/>
      <c r="G15" s="302"/>
      <c r="H15" s="302"/>
      <c r="I15" s="302"/>
      <c r="J15" s="302"/>
      <c r="K15" s="302"/>
      <c r="L15" s="302"/>
      <c r="M15" s="302"/>
      <c r="N15" s="302"/>
      <c r="O15" s="302"/>
      <c r="P15" s="324"/>
      <c r="Q15" s="326"/>
      <c r="R15" s="82">
        <f>+Q5/(109131)*D15</f>
        <v>292017.61919161375</v>
      </c>
      <c r="S15" s="85">
        <f>+((R15/(Q5+Q28))*100)</f>
        <v>6.4952242783866163</v>
      </c>
      <c r="T15" s="32">
        <f>494+527+48+28</f>
        <v>1097</v>
      </c>
      <c r="U15" s="103"/>
    </row>
    <row r="16" spans="1:21" s="33" customFormat="1" x14ac:dyDescent="0.25">
      <c r="A16" s="317"/>
      <c r="B16" s="319"/>
      <c r="C16" s="10" t="s">
        <v>39</v>
      </c>
      <c r="D16" s="34">
        <v>3480</v>
      </c>
      <c r="E16" s="322"/>
      <c r="F16" s="302"/>
      <c r="G16" s="302"/>
      <c r="H16" s="302"/>
      <c r="I16" s="302"/>
      <c r="J16" s="302"/>
      <c r="K16" s="302"/>
      <c r="L16" s="302"/>
      <c r="M16" s="302"/>
      <c r="N16" s="302"/>
      <c r="O16" s="302"/>
      <c r="P16" s="324"/>
      <c r="Q16" s="326"/>
      <c r="R16" s="82">
        <f>+Q5/(109131)*D16</f>
        <v>131976.7941281579</v>
      </c>
      <c r="S16" s="85">
        <f>+((R16/(Q5+Q28))*100)</f>
        <v>2.9355039595825221</v>
      </c>
      <c r="T16" s="32">
        <v>319</v>
      </c>
      <c r="U16" s="103"/>
    </row>
    <row r="17" spans="1:24" s="33" customFormat="1" ht="15.95" customHeight="1" x14ac:dyDescent="0.25">
      <c r="A17" s="38">
        <v>8</v>
      </c>
      <c r="B17" s="319"/>
      <c r="C17" s="11" t="s">
        <v>40</v>
      </c>
      <c r="D17" s="39">
        <v>1207</v>
      </c>
      <c r="E17" s="322"/>
      <c r="F17" s="302"/>
      <c r="G17" s="302"/>
      <c r="H17" s="302"/>
      <c r="I17" s="302"/>
      <c r="J17" s="302"/>
      <c r="K17" s="302"/>
      <c r="L17" s="302"/>
      <c r="M17" s="302"/>
      <c r="N17" s="302"/>
      <c r="O17" s="302"/>
      <c r="P17" s="324"/>
      <c r="Q17" s="326"/>
      <c r="R17" s="82">
        <f>+Q5/(109131)*D17</f>
        <v>45774.709917438668</v>
      </c>
      <c r="S17" s="85">
        <f>+((R17/(Q5+Q28))*100)</f>
        <v>1.0181474940276163</v>
      </c>
      <c r="T17" s="32">
        <f>168+6</f>
        <v>174</v>
      </c>
      <c r="U17" s="103"/>
      <c r="X17" s="40"/>
    </row>
    <row r="18" spans="1:24" s="33" customFormat="1" ht="15.95" customHeight="1" x14ac:dyDescent="0.25">
      <c r="A18" s="29">
        <v>9</v>
      </c>
      <c r="B18" s="319"/>
      <c r="C18" s="11" t="s">
        <v>41</v>
      </c>
      <c r="D18" s="39">
        <v>214</v>
      </c>
      <c r="E18" s="322"/>
      <c r="F18" s="302"/>
      <c r="G18" s="302"/>
      <c r="H18" s="302"/>
      <c r="I18" s="302"/>
      <c r="J18" s="302"/>
      <c r="K18" s="302"/>
      <c r="L18" s="302"/>
      <c r="M18" s="302"/>
      <c r="N18" s="302"/>
      <c r="O18" s="302"/>
      <c r="P18" s="324"/>
      <c r="Q18" s="326"/>
      <c r="R18" s="82">
        <f>+Q5/(109131)*D18</f>
        <v>8115.8143515591346</v>
      </c>
      <c r="S18" s="85">
        <f>+((R18/(Q5+Q28))*100)</f>
        <v>0.18051662280191372</v>
      </c>
      <c r="T18" s="32"/>
      <c r="U18" s="103"/>
    </row>
    <row r="19" spans="1:24" s="33" customFormat="1" x14ac:dyDescent="0.25">
      <c r="A19" s="332">
        <v>10</v>
      </c>
      <c r="B19" s="319"/>
      <c r="C19" s="10" t="s">
        <v>42</v>
      </c>
      <c r="D19" s="34">
        <v>12000</v>
      </c>
      <c r="E19" s="322"/>
      <c r="F19" s="302"/>
      <c r="G19" s="302"/>
      <c r="H19" s="302"/>
      <c r="I19" s="302"/>
      <c r="J19" s="302"/>
      <c r="K19" s="302"/>
      <c r="L19" s="302"/>
      <c r="M19" s="302"/>
      <c r="N19" s="302"/>
      <c r="O19" s="302"/>
      <c r="P19" s="324"/>
      <c r="Q19" s="326"/>
      <c r="R19" s="82">
        <f>+Q5/(109131)*D19</f>
        <v>455092.39354537206</v>
      </c>
      <c r="S19" s="85">
        <f>+((R19/(Q5+Q28))*100)</f>
        <v>10.122427446836284</v>
      </c>
      <c r="T19" s="32">
        <f>100+105+4</f>
        <v>209</v>
      </c>
      <c r="U19" s="103"/>
    </row>
    <row r="20" spans="1:24" s="33" customFormat="1" ht="30.95" customHeight="1" x14ac:dyDescent="0.25">
      <c r="A20" s="316"/>
      <c r="B20" s="319"/>
      <c r="C20" s="10" t="s">
        <v>43</v>
      </c>
      <c r="D20" s="34">
        <v>3400</v>
      </c>
      <c r="E20" s="322"/>
      <c r="F20" s="302"/>
      <c r="G20" s="302"/>
      <c r="H20" s="302"/>
      <c r="I20" s="302"/>
      <c r="J20" s="302"/>
      <c r="K20" s="302"/>
      <c r="L20" s="302"/>
      <c r="M20" s="302"/>
      <c r="N20" s="302"/>
      <c r="O20" s="302"/>
      <c r="P20" s="324"/>
      <c r="Q20" s="326"/>
      <c r="R20" s="82">
        <f>+Q5/(109131)*D20</f>
        <v>128942.8448378554</v>
      </c>
      <c r="S20" s="85">
        <f>+((R20/(Q5+Q28))*100)</f>
        <v>2.8680211099369468</v>
      </c>
      <c r="T20" s="32">
        <v>103</v>
      </c>
      <c r="U20" s="103"/>
    </row>
    <row r="21" spans="1:24" s="33" customFormat="1" x14ac:dyDescent="0.25">
      <c r="A21" s="316"/>
      <c r="B21" s="319"/>
      <c r="C21" s="10" t="s">
        <v>44</v>
      </c>
      <c r="D21" s="34">
        <v>3480</v>
      </c>
      <c r="E21" s="322"/>
      <c r="F21" s="302"/>
      <c r="G21" s="302"/>
      <c r="H21" s="302"/>
      <c r="I21" s="302"/>
      <c r="J21" s="302"/>
      <c r="K21" s="302"/>
      <c r="L21" s="302"/>
      <c r="M21" s="302"/>
      <c r="N21" s="302"/>
      <c r="O21" s="302"/>
      <c r="P21" s="324"/>
      <c r="Q21" s="326"/>
      <c r="R21" s="82">
        <f>+Q5/(109131)*D21</f>
        <v>131976.7941281579</v>
      </c>
      <c r="S21" s="85">
        <f>+((R21/(Q5+Q28))*100)</f>
        <v>2.9355039595825221</v>
      </c>
      <c r="T21" s="32">
        <v>241</v>
      </c>
      <c r="U21" s="103"/>
    </row>
    <row r="22" spans="1:24" s="33" customFormat="1" ht="15.75" thickBot="1" x14ac:dyDescent="0.3">
      <c r="A22" s="316"/>
      <c r="B22" s="319"/>
      <c r="C22" s="41" t="s">
        <v>45</v>
      </c>
      <c r="D22" s="42">
        <v>6500</v>
      </c>
      <c r="E22" s="366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70"/>
      <c r="Q22" s="371"/>
      <c r="R22" s="90">
        <f>+Q5/(109131)*D22</f>
        <v>246508.37983707653</v>
      </c>
      <c r="S22" s="91">
        <f>+((R22/(Q5+Q28))*100)</f>
        <v>5.4829815337029872</v>
      </c>
      <c r="T22" s="45">
        <v>225</v>
      </c>
      <c r="U22" s="104"/>
    </row>
    <row r="23" spans="1:24" s="33" customFormat="1" ht="17.100000000000001" customHeight="1" thickBot="1" x14ac:dyDescent="0.3">
      <c r="A23" s="352" t="s">
        <v>70</v>
      </c>
      <c r="B23" s="353"/>
      <c r="C23" s="353"/>
      <c r="D23" s="46">
        <f>SUM(D5:D22)-D11</f>
        <v>108411</v>
      </c>
      <c r="E23" s="47">
        <f t="shared" ref="E23:Q23" si="0">SUM(E5)</f>
        <v>435621</v>
      </c>
      <c r="F23" s="48">
        <f t="shared" si="0"/>
        <v>439471</v>
      </c>
      <c r="G23" s="48">
        <f t="shared" si="0"/>
        <v>506591</v>
      </c>
      <c r="H23" s="48">
        <f t="shared" si="0"/>
        <v>424566</v>
      </c>
      <c r="I23" s="48">
        <f t="shared" si="0"/>
        <v>359738</v>
      </c>
      <c r="J23" s="48">
        <f t="shared" si="0"/>
        <v>291097</v>
      </c>
      <c r="K23" s="48">
        <f t="shared" si="0"/>
        <v>313288</v>
      </c>
      <c r="L23" s="48">
        <f t="shared" si="0"/>
        <v>302703</v>
      </c>
      <c r="M23" s="48">
        <f t="shared" si="0"/>
        <v>197188</v>
      </c>
      <c r="N23" s="48">
        <f t="shared" si="0"/>
        <v>257770</v>
      </c>
      <c r="O23" s="48">
        <f t="shared" si="0"/>
        <v>341384</v>
      </c>
      <c r="P23" s="80">
        <f t="shared" si="0"/>
        <v>269307</v>
      </c>
      <c r="Q23" s="94">
        <f t="shared" si="0"/>
        <v>4138724</v>
      </c>
      <c r="R23" s="95">
        <f>SUM(R5:R22)</f>
        <v>4138724.0000000005</v>
      </c>
      <c r="S23" s="96">
        <f>+((R23/(Q5+Q28))*100)</f>
        <v>92.055885808390897</v>
      </c>
      <c r="T23" s="49">
        <f>SUM(T5:T22)</f>
        <v>12080</v>
      </c>
      <c r="U23" s="50">
        <f>SUM(U5:U22)</f>
        <v>0</v>
      </c>
    </row>
    <row r="24" spans="1:24" s="33" customFormat="1" x14ac:dyDescent="0.25">
      <c r="A24" s="317">
        <v>1</v>
      </c>
      <c r="B24" s="355" t="s">
        <v>46</v>
      </c>
      <c r="C24" s="12" t="s">
        <v>47</v>
      </c>
      <c r="D24" s="357">
        <v>3350</v>
      </c>
      <c r="E24" s="51">
        <v>3421</v>
      </c>
      <c r="F24" s="52">
        <v>3650</v>
      </c>
      <c r="G24" s="52">
        <v>4021</v>
      </c>
      <c r="H24" s="52">
        <v>3851</v>
      </c>
      <c r="I24" s="52">
        <v>3172</v>
      </c>
      <c r="J24" s="52">
        <v>3291</v>
      </c>
      <c r="K24" s="52">
        <v>3270</v>
      </c>
      <c r="L24" s="52">
        <v>3287</v>
      </c>
      <c r="M24" s="52">
        <v>3009</v>
      </c>
      <c r="N24" s="52">
        <v>3069</v>
      </c>
      <c r="O24" s="52">
        <v>3176</v>
      </c>
      <c r="P24" s="62">
        <v>3216</v>
      </c>
      <c r="Q24" s="63">
        <f>SUM(E24:P24)</f>
        <v>40433</v>
      </c>
      <c r="R24" s="92">
        <f>+Q24</f>
        <v>40433</v>
      </c>
      <c r="S24" s="93">
        <f>+((R24/(Q5+Q28))*100)</f>
        <v>0.89933410174021478</v>
      </c>
      <c r="T24" s="335">
        <f>2124+45</f>
        <v>2169</v>
      </c>
      <c r="U24" s="105"/>
    </row>
    <row r="25" spans="1:24" s="33" customFormat="1" x14ac:dyDescent="0.25">
      <c r="A25" s="317"/>
      <c r="B25" s="356"/>
      <c r="C25" s="10" t="s">
        <v>48</v>
      </c>
      <c r="D25" s="357"/>
      <c r="E25" s="35">
        <v>155</v>
      </c>
      <c r="F25" s="36">
        <v>174</v>
      </c>
      <c r="G25" s="36">
        <v>261</v>
      </c>
      <c r="H25" s="36">
        <v>227</v>
      </c>
      <c r="I25" s="36">
        <v>225</v>
      </c>
      <c r="J25" s="36">
        <v>180</v>
      </c>
      <c r="K25" s="36">
        <v>190</v>
      </c>
      <c r="L25" s="36">
        <v>243</v>
      </c>
      <c r="M25" s="36">
        <v>169</v>
      </c>
      <c r="N25" s="36">
        <v>164</v>
      </c>
      <c r="O25" s="36">
        <v>200</v>
      </c>
      <c r="P25" s="65">
        <v>169</v>
      </c>
      <c r="Q25" s="66">
        <f t="shared" ref="Q25:Q27" si="1">SUM(E25:P25)</f>
        <v>2357</v>
      </c>
      <c r="R25" s="82">
        <f>+Q25</f>
        <v>2357</v>
      </c>
      <c r="S25" s="85">
        <f>+((R25/(Q5+Q28))*100)</f>
        <v>5.242575316700928E-2</v>
      </c>
      <c r="T25" s="336"/>
      <c r="U25" s="103"/>
    </row>
    <row r="26" spans="1:24" s="33" customFormat="1" x14ac:dyDescent="0.25">
      <c r="A26" s="354"/>
      <c r="B26" s="356"/>
      <c r="C26" s="12" t="s">
        <v>49</v>
      </c>
      <c r="D26" s="358"/>
      <c r="E26" s="35">
        <v>13926</v>
      </c>
      <c r="F26" s="36">
        <v>15694</v>
      </c>
      <c r="G26" s="36">
        <v>16355</v>
      </c>
      <c r="H26" s="36">
        <v>15740</v>
      </c>
      <c r="I26" s="36">
        <v>14027</v>
      </c>
      <c r="J26" s="36">
        <v>14458</v>
      </c>
      <c r="K26" s="36">
        <v>12895</v>
      </c>
      <c r="L26" s="36">
        <v>13257</v>
      </c>
      <c r="M26" s="36">
        <v>12574</v>
      </c>
      <c r="N26" s="36">
        <v>16546</v>
      </c>
      <c r="O26" s="36">
        <v>18244</v>
      </c>
      <c r="P26" s="65">
        <v>16803</v>
      </c>
      <c r="Q26" s="66">
        <f t="shared" si="1"/>
        <v>180519</v>
      </c>
      <c r="R26" s="82">
        <f>+Q26</f>
        <v>180519</v>
      </c>
      <c r="S26" s="85">
        <f>+((R26/(Q5+Q28))*100)</f>
        <v>4.0152076945079971</v>
      </c>
      <c r="T26" s="337">
        <v>29</v>
      </c>
      <c r="U26" s="103"/>
    </row>
    <row r="27" spans="1:24" s="33" customFormat="1" ht="15.75" thickBot="1" x14ac:dyDescent="0.3">
      <c r="A27" s="332"/>
      <c r="B27" s="356"/>
      <c r="C27" s="41" t="s">
        <v>50</v>
      </c>
      <c r="D27" s="359"/>
      <c r="E27" s="43">
        <v>6243</v>
      </c>
      <c r="F27" s="44">
        <v>8649</v>
      </c>
      <c r="G27" s="44">
        <v>10874</v>
      </c>
      <c r="H27" s="44">
        <v>13327</v>
      </c>
      <c r="I27" s="44">
        <v>12137</v>
      </c>
      <c r="J27" s="44">
        <v>12466</v>
      </c>
      <c r="K27" s="44">
        <v>10126</v>
      </c>
      <c r="L27" s="44">
        <v>8330</v>
      </c>
      <c r="M27" s="44">
        <v>8185</v>
      </c>
      <c r="N27" s="44">
        <v>14270</v>
      </c>
      <c r="O27" s="44">
        <v>15876</v>
      </c>
      <c r="P27" s="79">
        <v>13366</v>
      </c>
      <c r="Q27" s="89">
        <f t="shared" si="1"/>
        <v>133849</v>
      </c>
      <c r="R27" s="90">
        <f>+Q27</f>
        <v>133849</v>
      </c>
      <c r="S27" s="91">
        <f>+((R27/(Q5+Q28))*100)</f>
        <v>2.977146642193901</v>
      </c>
      <c r="T27" s="338"/>
      <c r="U27" s="104"/>
    </row>
    <row r="28" spans="1:24" s="33" customFormat="1" ht="17.100000000000001" customHeight="1" thickBot="1" x14ac:dyDescent="0.3">
      <c r="A28" s="339" t="s">
        <v>70</v>
      </c>
      <c r="B28" s="340"/>
      <c r="C28" s="340"/>
      <c r="D28" s="53">
        <f>SUM(D23:D27)-D11</f>
        <v>111041</v>
      </c>
      <c r="E28" s="54">
        <f t="shared" ref="E28:P28" si="2">SUM(E24:E27)</f>
        <v>23745</v>
      </c>
      <c r="F28" s="55">
        <f t="shared" si="2"/>
        <v>28167</v>
      </c>
      <c r="G28" s="55">
        <f t="shared" si="2"/>
        <v>31511</v>
      </c>
      <c r="H28" s="55">
        <f t="shared" si="2"/>
        <v>33145</v>
      </c>
      <c r="I28" s="55">
        <f t="shared" si="2"/>
        <v>29561</v>
      </c>
      <c r="J28" s="55">
        <f t="shared" si="2"/>
        <v>30395</v>
      </c>
      <c r="K28" s="55">
        <f t="shared" si="2"/>
        <v>26481</v>
      </c>
      <c r="L28" s="55">
        <f t="shared" si="2"/>
        <v>25117</v>
      </c>
      <c r="M28" s="55">
        <f t="shared" si="2"/>
        <v>23937</v>
      </c>
      <c r="N28" s="55">
        <f t="shared" si="2"/>
        <v>34049</v>
      </c>
      <c r="O28" s="55">
        <f t="shared" si="2"/>
        <v>37496</v>
      </c>
      <c r="P28" s="81">
        <f t="shared" si="2"/>
        <v>33554</v>
      </c>
      <c r="Q28" s="86">
        <f>SUM(Q24:Q27)</f>
        <v>357158</v>
      </c>
      <c r="R28" s="87">
        <f>SUM(R24:R27)</f>
        <v>357158</v>
      </c>
      <c r="S28" s="88">
        <f>+((R28/(Q5+Q28))*100)</f>
        <v>7.9441141916091214</v>
      </c>
      <c r="T28" s="56">
        <f>SUM(T23:T27)</f>
        <v>14278</v>
      </c>
      <c r="U28" s="57">
        <f>SUM(U23:U27)</f>
        <v>0</v>
      </c>
    </row>
    <row r="29" spans="1:24" x14ac:dyDescent="0.25">
      <c r="Q29" s="59"/>
      <c r="R29" s="59"/>
      <c r="S29" s="59"/>
    </row>
  </sheetData>
  <mergeCells count="33">
    <mergeCell ref="A28:C28"/>
    <mergeCell ref="Q3:S3"/>
    <mergeCell ref="A23:C23"/>
    <mergeCell ref="A24:A27"/>
    <mergeCell ref="B24:B27"/>
    <mergeCell ref="D24:D27"/>
    <mergeCell ref="A8:A10"/>
    <mergeCell ref="A15:A16"/>
    <mergeCell ref="A19:A22"/>
    <mergeCell ref="I5:I22"/>
    <mergeCell ref="J5:J22"/>
    <mergeCell ref="K5:K22"/>
    <mergeCell ref="L5:L22"/>
    <mergeCell ref="M5:M22"/>
    <mergeCell ref="N5:N22"/>
    <mergeCell ref="A5:A7"/>
    <mergeCell ref="T24:T25"/>
    <mergeCell ref="T26:T27"/>
    <mergeCell ref="O5:O22"/>
    <mergeCell ref="P5:P22"/>
    <mergeCell ref="Q5:Q22"/>
    <mergeCell ref="B5:B22"/>
    <mergeCell ref="E5:E22"/>
    <mergeCell ref="F5:F22"/>
    <mergeCell ref="G5:G22"/>
    <mergeCell ref="H5:H22"/>
    <mergeCell ref="A2:U2"/>
    <mergeCell ref="A3:A4"/>
    <mergeCell ref="B3:B4"/>
    <mergeCell ref="C3:C4"/>
    <mergeCell ref="D3:D4"/>
    <mergeCell ref="E3:P3"/>
    <mergeCell ref="T3:U3"/>
  </mergeCell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7"/>
  <sheetViews>
    <sheetView topLeftCell="J4" workbookViewId="0">
      <selection activeCell="U17" sqref="U17"/>
    </sheetView>
  </sheetViews>
  <sheetFormatPr defaultColWidth="8.875" defaultRowHeight="15" x14ac:dyDescent="0.25"/>
  <cols>
    <col min="1" max="1" width="8.875" style="23"/>
    <col min="2" max="2" width="8.125" style="23" customWidth="1"/>
    <col min="3" max="3" width="37.125" style="22" customWidth="1"/>
    <col min="4" max="4" width="9.625" style="58" bestFit="1" customWidth="1"/>
    <col min="5" max="5" width="14.875" style="58" customWidth="1"/>
    <col min="6" max="11" width="12.5" style="58" bestFit="1" customWidth="1"/>
    <col min="12" max="12" width="15.5" style="58" bestFit="1" customWidth="1"/>
    <col min="13" max="16" width="12.5" style="58" bestFit="1" customWidth="1"/>
    <col min="17" max="18" width="12.625" style="58" bestFit="1" customWidth="1"/>
    <col min="19" max="19" width="15.125" style="58" customWidth="1"/>
    <col min="20" max="20" width="12" style="58" customWidth="1"/>
    <col min="21" max="21" width="18" style="58" customWidth="1"/>
    <col min="22" max="16384" width="8.875" style="22"/>
  </cols>
  <sheetData>
    <row r="1" spans="1:21" x14ac:dyDescent="0.25">
      <c r="A1" s="372" t="s">
        <v>73</v>
      </c>
      <c r="B1" s="373"/>
      <c r="C1" s="373"/>
      <c r="D1" s="373"/>
      <c r="E1" s="373"/>
      <c r="F1" s="373"/>
      <c r="G1" s="373"/>
      <c r="H1" s="373"/>
      <c r="I1" s="373"/>
      <c r="J1" s="373"/>
      <c r="K1" s="373"/>
      <c r="L1" s="373"/>
      <c r="M1" s="373"/>
      <c r="N1" s="373"/>
      <c r="O1" s="373"/>
      <c r="P1" s="373"/>
      <c r="Q1" s="378" t="s">
        <v>74</v>
      </c>
      <c r="R1" s="380" t="s">
        <v>75</v>
      </c>
      <c r="S1" s="380"/>
      <c r="T1" s="190" t="s">
        <v>19</v>
      </c>
      <c r="U1" s="109" t="s">
        <v>77</v>
      </c>
    </row>
    <row r="2" spans="1:21" x14ac:dyDescent="0.25">
      <c r="A2" s="374"/>
      <c r="B2" s="375"/>
      <c r="C2" s="375"/>
      <c r="D2" s="375"/>
      <c r="E2" s="375"/>
      <c r="F2" s="375"/>
      <c r="G2" s="375"/>
      <c r="H2" s="375"/>
      <c r="I2" s="375"/>
      <c r="J2" s="375"/>
      <c r="K2" s="375"/>
      <c r="L2" s="375"/>
      <c r="M2" s="375"/>
      <c r="N2" s="375"/>
      <c r="O2" s="375"/>
      <c r="P2" s="375"/>
      <c r="Q2" s="379"/>
      <c r="R2" s="381"/>
      <c r="S2" s="381"/>
      <c r="T2" s="191" t="s">
        <v>22</v>
      </c>
      <c r="U2" s="112">
        <v>45139</v>
      </c>
    </row>
    <row r="3" spans="1:21" x14ac:dyDescent="0.25">
      <c r="A3" s="374"/>
      <c r="B3" s="375"/>
      <c r="C3" s="375"/>
      <c r="D3" s="375"/>
      <c r="E3" s="375"/>
      <c r="F3" s="375"/>
      <c r="G3" s="375"/>
      <c r="H3" s="375"/>
      <c r="I3" s="375"/>
      <c r="J3" s="375"/>
      <c r="K3" s="375"/>
      <c r="L3" s="375"/>
      <c r="M3" s="375"/>
      <c r="N3" s="375"/>
      <c r="O3" s="375"/>
      <c r="P3" s="375"/>
      <c r="Q3" s="379" t="s">
        <v>2</v>
      </c>
      <c r="R3" s="381" t="s">
        <v>51</v>
      </c>
      <c r="S3" s="381"/>
      <c r="T3" s="191" t="s">
        <v>20</v>
      </c>
      <c r="U3" s="113">
        <v>0</v>
      </c>
    </row>
    <row r="4" spans="1:21" ht="15.75" thickBot="1" x14ac:dyDescent="0.3">
      <c r="A4" s="376"/>
      <c r="B4" s="377"/>
      <c r="C4" s="377"/>
      <c r="D4" s="377"/>
      <c r="E4" s="377"/>
      <c r="F4" s="377"/>
      <c r="G4" s="377"/>
      <c r="H4" s="377"/>
      <c r="I4" s="377"/>
      <c r="J4" s="377"/>
      <c r="K4" s="377"/>
      <c r="L4" s="377"/>
      <c r="M4" s="377"/>
      <c r="N4" s="377"/>
      <c r="O4" s="377"/>
      <c r="P4" s="377"/>
      <c r="Q4" s="382"/>
      <c r="R4" s="383"/>
      <c r="S4" s="383"/>
      <c r="T4" s="192" t="s">
        <v>21</v>
      </c>
      <c r="U4" s="115" t="s">
        <v>23</v>
      </c>
    </row>
    <row r="5" spans="1:21" ht="19.5" thickBot="1" x14ac:dyDescent="0.3">
      <c r="A5" s="384"/>
      <c r="B5" s="384"/>
      <c r="C5" s="384"/>
      <c r="D5" s="384"/>
      <c r="E5" s="385"/>
      <c r="F5" s="385"/>
      <c r="G5" s="385"/>
      <c r="H5" s="385"/>
      <c r="I5" s="385"/>
      <c r="J5" s="385"/>
      <c r="K5" s="385"/>
      <c r="L5" s="385"/>
      <c r="M5" s="385"/>
      <c r="N5" s="385"/>
      <c r="O5" s="385"/>
      <c r="P5" s="385"/>
      <c r="Q5" s="385"/>
      <c r="R5" s="385"/>
      <c r="S5" s="385"/>
      <c r="T5" s="384"/>
      <c r="U5" s="384"/>
    </row>
    <row r="6" spans="1:21" s="23" customFormat="1" ht="15.75" thickBot="1" x14ac:dyDescent="0.3">
      <c r="A6" s="305" t="s">
        <v>59</v>
      </c>
      <c r="B6" s="307" t="s">
        <v>60</v>
      </c>
      <c r="C6" s="307" t="s">
        <v>61</v>
      </c>
      <c r="D6" s="360" t="s">
        <v>62</v>
      </c>
      <c r="E6" s="362" t="s">
        <v>76</v>
      </c>
      <c r="F6" s="363"/>
      <c r="G6" s="363"/>
      <c r="H6" s="363"/>
      <c r="I6" s="363"/>
      <c r="J6" s="363"/>
      <c r="K6" s="363"/>
      <c r="L6" s="363"/>
      <c r="M6" s="363"/>
      <c r="N6" s="363"/>
      <c r="O6" s="363"/>
      <c r="P6" s="363"/>
      <c r="Q6" s="341" t="s">
        <v>64</v>
      </c>
      <c r="R6" s="342"/>
      <c r="S6" s="343"/>
      <c r="T6" s="364" t="s">
        <v>65</v>
      </c>
      <c r="U6" s="360"/>
    </row>
    <row r="7" spans="1:21" s="23" customFormat="1" ht="30.75" thickBot="1" x14ac:dyDescent="0.3">
      <c r="A7" s="306"/>
      <c r="B7" s="308"/>
      <c r="C7" s="308"/>
      <c r="D7" s="361"/>
      <c r="E7" s="24">
        <v>44835</v>
      </c>
      <c r="F7" s="25">
        <v>44866</v>
      </c>
      <c r="G7" s="25">
        <v>44896</v>
      </c>
      <c r="H7" s="25">
        <v>44927</v>
      </c>
      <c r="I7" s="25">
        <v>44958</v>
      </c>
      <c r="J7" s="25">
        <v>44986</v>
      </c>
      <c r="K7" s="25">
        <v>45017</v>
      </c>
      <c r="L7" s="25">
        <v>45047</v>
      </c>
      <c r="M7" s="25">
        <v>45078</v>
      </c>
      <c r="N7" s="25">
        <v>45108</v>
      </c>
      <c r="O7" s="25">
        <v>45139</v>
      </c>
      <c r="P7" s="77">
        <v>45170</v>
      </c>
      <c r="Q7" s="83" t="s">
        <v>66</v>
      </c>
      <c r="R7" s="78" t="s">
        <v>67</v>
      </c>
      <c r="S7" s="84" t="s">
        <v>72</v>
      </c>
      <c r="T7" s="27" t="s">
        <v>68</v>
      </c>
      <c r="U7" s="28" t="s">
        <v>69</v>
      </c>
    </row>
    <row r="8" spans="1:21" s="33" customFormat="1" x14ac:dyDescent="0.25">
      <c r="A8" s="316">
        <v>1</v>
      </c>
      <c r="B8" s="318" t="s">
        <v>27</v>
      </c>
      <c r="C8" s="30"/>
      <c r="D8" s="31">
        <v>10750</v>
      </c>
      <c r="E8" s="193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5"/>
      <c r="Q8" s="326">
        <f>SUM(E8:P10)</f>
        <v>0</v>
      </c>
      <c r="R8" s="82">
        <f>+Q8/(109131)*D8</f>
        <v>0</v>
      </c>
      <c r="S8" s="196" t="e">
        <f>+((R8/((Q8+Q16))*100))</f>
        <v>#DIV/0!</v>
      </c>
      <c r="T8" s="32">
        <f>1026+107+12</f>
        <v>1145</v>
      </c>
      <c r="U8" s="103"/>
    </row>
    <row r="9" spans="1:21" s="33" customFormat="1" x14ac:dyDescent="0.25">
      <c r="A9" s="316"/>
      <c r="B9" s="319"/>
      <c r="C9" s="10"/>
      <c r="D9" s="34">
        <v>11800</v>
      </c>
      <c r="E9" s="193"/>
      <c r="F9" s="194"/>
      <c r="G9" s="194"/>
      <c r="H9" s="194"/>
      <c r="I9" s="194"/>
      <c r="J9" s="194"/>
      <c r="K9" s="194"/>
      <c r="L9" s="194"/>
      <c r="M9" s="194"/>
      <c r="N9" s="194"/>
      <c r="O9" s="194"/>
      <c r="P9" s="195"/>
      <c r="Q9" s="326"/>
      <c r="R9" s="82">
        <f>+Q8/(109131)*D9</f>
        <v>0</v>
      </c>
      <c r="S9" s="196" t="e">
        <f>+((R9/(Q8+Q16))*100)</f>
        <v>#DIV/0!</v>
      </c>
      <c r="T9" s="32">
        <f>555+497+1201+72+70+105+2</f>
        <v>2502</v>
      </c>
      <c r="U9" s="103"/>
    </row>
    <row r="10" spans="1:21" s="33" customFormat="1" ht="15.75" thickBot="1" x14ac:dyDescent="0.3">
      <c r="A10" s="317"/>
      <c r="B10" s="319"/>
      <c r="C10" s="10"/>
      <c r="D10" s="34">
        <v>17500</v>
      </c>
      <c r="E10" s="193"/>
      <c r="F10" s="194"/>
      <c r="G10" s="194"/>
      <c r="H10" s="194"/>
      <c r="I10" s="194"/>
      <c r="J10" s="194"/>
      <c r="K10" s="194"/>
      <c r="L10" s="194"/>
      <c r="M10" s="194"/>
      <c r="N10" s="194"/>
      <c r="O10" s="194"/>
      <c r="P10" s="195"/>
      <c r="Q10" s="326"/>
      <c r="R10" s="82">
        <f>+Q8/(109131)*D10</f>
        <v>0</v>
      </c>
      <c r="S10" s="196" t="e">
        <f>+((R10/(Q8+Q16))*100)</f>
        <v>#DIV/0!</v>
      </c>
      <c r="T10" s="32">
        <f>930+713+681+1094+1+120+68+75+58</f>
        <v>3740</v>
      </c>
      <c r="U10" s="103"/>
    </row>
    <row r="11" spans="1:21" s="33" customFormat="1" ht="15.75" thickBot="1" x14ac:dyDescent="0.3">
      <c r="A11" s="352" t="s">
        <v>70</v>
      </c>
      <c r="B11" s="353"/>
      <c r="C11" s="353"/>
      <c r="D11" s="46" t="e">
        <f>SUM(D8:D10)-#REF!</f>
        <v>#REF!</v>
      </c>
      <c r="E11" s="47">
        <f t="shared" ref="E11:Q11" si="0">SUM(E8)</f>
        <v>0</v>
      </c>
      <c r="F11" s="48">
        <f t="shared" si="0"/>
        <v>0</v>
      </c>
      <c r="G11" s="48">
        <f t="shared" si="0"/>
        <v>0</v>
      </c>
      <c r="H11" s="48">
        <f t="shared" si="0"/>
        <v>0</v>
      </c>
      <c r="I11" s="48">
        <f t="shared" si="0"/>
        <v>0</v>
      </c>
      <c r="J11" s="48">
        <f t="shared" si="0"/>
        <v>0</v>
      </c>
      <c r="K11" s="48">
        <f t="shared" si="0"/>
        <v>0</v>
      </c>
      <c r="L11" s="48">
        <f t="shared" si="0"/>
        <v>0</v>
      </c>
      <c r="M11" s="48">
        <f t="shared" si="0"/>
        <v>0</v>
      </c>
      <c r="N11" s="48">
        <f t="shared" si="0"/>
        <v>0</v>
      </c>
      <c r="O11" s="48">
        <f t="shared" si="0"/>
        <v>0</v>
      </c>
      <c r="P11" s="80">
        <f t="shared" si="0"/>
        <v>0</v>
      </c>
      <c r="Q11" s="94">
        <f t="shared" si="0"/>
        <v>0</v>
      </c>
      <c r="R11" s="95">
        <f>SUM(R8:R10)</f>
        <v>0</v>
      </c>
      <c r="S11" s="96" t="e">
        <f>+((R11/(Q8+Q16))*100)</f>
        <v>#DIV/0!</v>
      </c>
      <c r="T11" s="49">
        <f>SUM(T8:T10)</f>
        <v>7387</v>
      </c>
      <c r="U11" s="50">
        <f>SUM(U8:U10)</f>
        <v>0</v>
      </c>
    </row>
    <row r="12" spans="1:21" s="33" customFormat="1" x14ac:dyDescent="0.25">
      <c r="A12" s="317">
        <v>1</v>
      </c>
      <c r="B12" s="355" t="s">
        <v>46</v>
      </c>
      <c r="C12" s="12" t="s">
        <v>47</v>
      </c>
      <c r="D12" s="357">
        <v>3350</v>
      </c>
      <c r="E12" s="193"/>
      <c r="F12" s="194"/>
      <c r="G12" s="194"/>
      <c r="H12" s="194"/>
      <c r="I12" s="194"/>
      <c r="J12" s="194"/>
      <c r="K12" s="194"/>
      <c r="L12" s="194"/>
      <c r="M12" s="194"/>
      <c r="N12" s="194"/>
      <c r="O12" s="194"/>
      <c r="P12" s="195"/>
      <c r="Q12" s="63">
        <f>SUM(E12:P12)</f>
        <v>0</v>
      </c>
      <c r="R12" s="92">
        <f>+Q12</f>
        <v>0</v>
      </c>
      <c r="S12" s="197" t="e">
        <f>+((R12/(Q8+Q16))*100)</f>
        <v>#DIV/0!</v>
      </c>
      <c r="T12" s="335">
        <f>2124+45</f>
        <v>2169</v>
      </c>
      <c r="U12" s="105"/>
    </row>
    <row r="13" spans="1:21" s="33" customFormat="1" x14ac:dyDescent="0.25">
      <c r="A13" s="317"/>
      <c r="B13" s="356"/>
      <c r="C13" s="10" t="s">
        <v>48</v>
      </c>
      <c r="D13" s="357"/>
      <c r="E13" s="193"/>
      <c r="F13" s="194"/>
      <c r="G13" s="194"/>
      <c r="H13" s="194"/>
      <c r="I13" s="194"/>
      <c r="J13" s="194"/>
      <c r="K13" s="194"/>
      <c r="L13" s="194"/>
      <c r="M13" s="194"/>
      <c r="N13" s="194"/>
      <c r="O13" s="194"/>
      <c r="P13" s="195"/>
      <c r="Q13" s="66">
        <f t="shared" ref="Q13:Q15" si="1">SUM(E13:P13)</f>
        <v>0</v>
      </c>
      <c r="R13" s="82">
        <f>+Q13</f>
        <v>0</v>
      </c>
      <c r="S13" s="196" t="e">
        <f>+((R13/(Q8+Q16))*100)</f>
        <v>#DIV/0!</v>
      </c>
      <c r="T13" s="336"/>
      <c r="U13" s="103"/>
    </row>
    <row r="14" spans="1:21" s="33" customFormat="1" x14ac:dyDescent="0.25">
      <c r="A14" s="354"/>
      <c r="B14" s="356"/>
      <c r="C14" s="12" t="s">
        <v>49</v>
      </c>
      <c r="D14" s="358"/>
      <c r="E14" s="193"/>
      <c r="F14" s="194"/>
      <c r="G14" s="194"/>
      <c r="H14" s="194"/>
      <c r="I14" s="194"/>
      <c r="J14" s="194"/>
      <c r="K14" s="194"/>
      <c r="L14" s="194"/>
      <c r="M14" s="194"/>
      <c r="N14" s="194"/>
      <c r="O14" s="194"/>
      <c r="P14" s="195"/>
      <c r="Q14" s="66">
        <f t="shared" si="1"/>
        <v>0</v>
      </c>
      <c r="R14" s="82">
        <f>+Q14</f>
        <v>0</v>
      </c>
      <c r="S14" s="196" t="e">
        <f>+((R14/(Q8+Q16))*100)</f>
        <v>#DIV/0!</v>
      </c>
      <c r="T14" s="337">
        <v>29</v>
      </c>
      <c r="U14" s="103"/>
    </row>
    <row r="15" spans="1:21" s="33" customFormat="1" ht="15.75" thickBot="1" x14ac:dyDescent="0.3">
      <c r="A15" s="332"/>
      <c r="B15" s="356"/>
      <c r="C15" s="41" t="s">
        <v>50</v>
      </c>
      <c r="D15" s="359"/>
      <c r="E15" s="193"/>
      <c r="F15" s="194"/>
      <c r="G15" s="194"/>
      <c r="H15" s="194"/>
      <c r="I15" s="194"/>
      <c r="J15" s="194"/>
      <c r="K15" s="194"/>
      <c r="L15" s="194"/>
      <c r="M15" s="194"/>
      <c r="N15" s="194"/>
      <c r="O15" s="194"/>
      <c r="P15" s="195"/>
      <c r="Q15" s="89">
        <f t="shared" si="1"/>
        <v>0</v>
      </c>
      <c r="R15" s="90">
        <f>+Q15</f>
        <v>0</v>
      </c>
      <c r="S15" s="198" t="e">
        <f>+((R15/(Q8+Q16))*100)</f>
        <v>#DIV/0!</v>
      </c>
      <c r="T15" s="338"/>
      <c r="U15" s="104"/>
    </row>
    <row r="16" spans="1:21" s="33" customFormat="1" ht="15.75" thickBot="1" x14ac:dyDescent="0.3">
      <c r="A16" s="339" t="s">
        <v>70</v>
      </c>
      <c r="B16" s="340"/>
      <c r="C16" s="340"/>
      <c r="D16" s="53" t="e">
        <f>SUM(D11:D15)-#REF!</f>
        <v>#REF!</v>
      </c>
      <c r="E16" s="54">
        <f t="shared" ref="E16:P16" si="2">SUM(E12:E15)</f>
        <v>0</v>
      </c>
      <c r="F16" s="55">
        <f t="shared" si="2"/>
        <v>0</v>
      </c>
      <c r="G16" s="55">
        <f t="shared" si="2"/>
        <v>0</v>
      </c>
      <c r="H16" s="55">
        <f t="shared" si="2"/>
        <v>0</v>
      </c>
      <c r="I16" s="55">
        <f t="shared" si="2"/>
        <v>0</v>
      </c>
      <c r="J16" s="55">
        <f t="shared" si="2"/>
        <v>0</v>
      </c>
      <c r="K16" s="55">
        <f t="shared" si="2"/>
        <v>0</v>
      </c>
      <c r="L16" s="55">
        <f t="shared" si="2"/>
        <v>0</v>
      </c>
      <c r="M16" s="55">
        <f t="shared" si="2"/>
        <v>0</v>
      </c>
      <c r="N16" s="55">
        <f t="shared" si="2"/>
        <v>0</v>
      </c>
      <c r="O16" s="55">
        <f t="shared" si="2"/>
        <v>0</v>
      </c>
      <c r="P16" s="81">
        <f t="shared" si="2"/>
        <v>0</v>
      </c>
      <c r="Q16" s="86">
        <f>SUM(Q12:Q15)</f>
        <v>0</v>
      </c>
      <c r="R16" s="87">
        <f>SUM(R12:R15)</f>
        <v>0</v>
      </c>
      <c r="S16" s="88" t="e">
        <f>+((R16/(Q8+Q16))*100)</f>
        <v>#DIV/0!</v>
      </c>
      <c r="T16" s="56">
        <f>SUM(T11:T15)</f>
        <v>9585</v>
      </c>
      <c r="U16" s="57">
        <f>SUM(U11:U15)</f>
        <v>0</v>
      </c>
    </row>
    <row r="17" spans="17:21" x14ac:dyDescent="0.25">
      <c r="Q17" s="59"/>
      <c r="R17" s="59"/>
      <c r="S17" s="59"/>
      <c r="U17" s="58" t="s">
        <v>78</v>
      </c>
    </row>
  </sheetData>
  <mergeCells count="23">
    <mergeCell ref="Q6:S6"/>
    <mergeCell ref="A1:P4"/>
    <mergeCell ref="Q1:Q2"/>
    <mergeCell ref="R1:S2"/>
    <mergeCell ref="Q3:Q4"/>
    <mergeCell ref="R3:S4"/>
    <mergeCell ref="A5:U5"/>
    <mergeCell ref="A16:C16"/>
    <mergeCell ref="T6:U6"/>
    <mergeCell ref="A8:A10"/>
    <mergeCell ref="B8:B10"/>
    <mergeCell ref="Q8:Q10"/>
    <mergeCell ref="A11:C11"/>
    <mergeCell ref="A12:A15"/>
    <mergeCell ref="B12:B15"/>
    <mergeCell ref="D12:D15"/>
    <mergeCell ref="T12:T13"/>
    <mergeCell ref="T14:T15"/>
    <mergeCell ref="A6:A7"/>
    <mergeCell ref="B6:B7"/>
    <mergeCell ref="C6:C7"/>
    <mergeCell ref="D6:D7"/>
    <mergeCell ref="E6:P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Özet</vt:lpstr>
      <vt:lpstr>Enerji-Dgaz Bina Kır</vt:lpstr>
      <vt:lpstr>doğalgaz</vt:lpstr>
      <vt:lpstr>elektrik</vt:lpstr>
      <vt:lpstr>motorin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</dc:creator>
  <cp:lastModifiedBy>Banu Bayrak</cp:lastModifiedBy>
  <dcterms:created xsi:type="dcterms:W3CDTF">2017-05-16T10:48:24Z</dcterms:created>
  <dcterms:modified xsi:type="dcterms:W3CDTF">2023-12-27T11:17:40Z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VeriketClassification">
    <vt:lpwstr>A5BC3CFD-4D51-461E-B5F0-D84C6FA67A36</vt:lpwstr>
  </property>
  <property fmtid="{D5CDD505-2E9C-101B-9397-08002B2CF9AE}" pid="3" name="SensitivityPropertyName">
    <vt:lpwstr>3265DAC8-E08B-44A1-BADC-2164496259F8</vt:lpwstr>
  </property>
  <property fmtid="{D5CDD505-2E9C-101B-9397-08002B2CF9AE}" pid="4" name="SensitivityPersonalDatasPropertyName">
    <vt:lpwstr/>
  </property>
</Properties>
</file>